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99D421A9-FEA1-46EA-865B-A4F4F9F91F84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Resumen" sheetId="4" r:id="rId1"/>
    <sheet name="Listas" sheetId="2" state="hidden" r:id="rId2"/>
    <sheet name="Transacciones" sheetId="3" r:id="rId3"/>
    <sheet name="Presupuesto" sheetId="5" r:id="rId4"/>
    <sheet name="Ahorro y Metas" sheetId="6" r:id="rId5"/>
    <sheet name="Deudas" sheetId="7" r:id="rId6"/>
    <sheet name="Patrimonio" sheetId="8" r:id="rId7"/>
    <sheet name="Instrucciones" sheetId="1" r:id="rId8"/>
  </sheets>
  <definedNames>
    <definedName name="_xlnm._FilterDatabase" localSheetId="2" hidden="1">Transacciones!$A$4:$G$114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" i="8" l="1"/>
  <c r="B18" i="8" s="1"/>
  <c r="C14" i="4" s="1"/>
  <c r="B16" i="8"/>
  <c r="B15" i="8"/>
  <c r="E8" i="7"/>
  <c r="C8" i="7"/>
  <c r="G7" i="7"/>
  <c r="H7" i="7" s="1"/>
  <c r="G6" i="7"/>
  <c r="H6" i="7" s="1"/>
  <c r="G5" i="7"/>
  <c r="H5" i="7" s="1"/>
  <c r="H8" i="7" s="1"/>
  <c r="D8" i="6"/>
  <c r="I8" i="6" s="1"/>
  <c r="C8" i="6"/>
  <c r="I7" i="6"/>
  <c r="G7" i="6"/>
  <c r="H7" i="6" s="1"/>
  <c r="I6" i="6"/>
  <c r="G6" i="6"/>
  <c r="H6" i="6" s="1"/>
  <c r="I5" i="6"/>
  <c r="G5" i="6"/>
  <c r="H5" i="6" s="1"/>
  <c r="C25" i="5"/>
  <c r="C18" i="5"/>
  <c r="B17" i="5"/>
  <c r="B16" i="5"/>
  <c r="B15" i="5"/>
  <c r="B14" i="5"/>
  <c r="B13" i="5"/>
  <c r="B12" i="5"/>
  <c r="B11" i="5"/>
  <c r="B10" i="5"/>
  <c r="B9" i="5"/>
  <c r="B8" i="5"/>
  <c r="B7" i="5"/>
  <c r="B3" i="5"/>
  <c r="K25" i="4"/>
  <c r="K22" i="4"/>
  <c r="L22" i="4" s="1"/>
  <c r="I14" i="4"/>
  <c r="F14" i="4"/>
  <c r="I13" i="4"/>
  <c r="F13" i="4"/>
  <c r="F15" i="4" s="1"/>
  <c r="J5" i="4"/>
  <c r="J4" i="4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D22" i="4" l="1"/>
  <c r="C22" i="4"/>
  <c r="B22" i="4"/>
  <c r="L25" i="4"/>
  <c r="C25" i="4" s="1"/>
  <c r="K23" i="4"/>
  <c r="K20" i="4"/>
  <c r="B7" i="8"/>
  <c r="B11" i="8" s="1"/>
  <c r="D22" i="5"/>
  <c r="J6" i="4"/>
  <c r="B9" i="4" s="1"/>
  <c r="D23" i="5"/>
  <c r="E23" i="5" s="1"/>
  <c r="K24" i="4"/>
  <c r="D9" i="5"/>
  <c r="K21" i="4"/>
  <c r="B25" i="4"/>
  <c r="L24" i="4" l="1"/>
  <c r="C24" i="4" s="1"/>
  <c r="B24" i="4"/>
  <c r="D8" i="5"/>
  <c r="B23" i="4"/>
  <c r="L23" i="4"/>
  <c r="C23" i="4" s="1"/>
  <c r="F9" i="5"/>
  <c r="E9" i="5"/>
  <c r="E22" i="5"/>
  <c r="D7" i="5"/>
  <c r="D16" i="5"/>
  <c r="D12" i="5"/>
  <c r="D11" i="5"/>
  <c r="D17" i="5"/>
  <c r="B20" i="8"/>
  <c r="C13" i="4"/>
  <c r="L20" i="4"/>
  <c r="D20" i="4" s="1"/>
  <c r="B20" i="4"/>
  <c r="D13" i="5"/>
  <c r="D25" i="4"/>
  <c r="E25" i="4" s="1"/>
  <c r="D15" i="5"/>
  <c r="D10" i="5"/>
  <c r="L21" i="4"/>
  <c r="B21" i="4"/>
  <c r="D21" i="4"/>
  <c r="C21" i="4"/>
  <c r="D14" i="5"/>
  <c r="E22" i="4"/>
  <c r="D24" i="5"/>
  <c r="E24" i="5" s="1"/>
  <c r="D9" i="4"/>
  <c r="F9" i="4" s="1"/>
  <c r="H9" i="4" s="1"/>
  <c r="F12" i="5" l="1"/>
  <c r="E12" i="5"/>
  <c r="E21" i="4"/>
  <c r="F14" i="5"/>
  <c r="E14" i="5"/>
  <c r="D25" i="5"/>
  <c r="E25" i="5"/>
  <c r="D23" i="4"/>
  <c r="E23" i="4" s="1"/>
  <c r="E11" i="5"/>
  <c r="F11" i="5"/>
  <c r="C30" i="5"/>
  <c r="D30" i="5" s="1"/>
  <c r="F30" i="5" s="1"/>
  <c r="F13" i="5"/>
  <c r="E13" i="5"/>
  <c r="F8" i="5"/>
  <c r="E8" i="5"/>
  <c r="D24" i="4"/>
  <c r="E24" i="4" s="1"/>
  <c r="F7" i="5"/>
  <c r="E7" i="5"/>
  <c r="E18" i="5" s="1"/>
  <c r="C29" i="5"/>
  <c r="D18" i="5"/>
  <c r="F18" i="5" s="1"/>
  <c r="F17" i="5"/>
  <c r="E17" i="5"/>
  <c r="E10" i="5"/>
  <c r="F10" i="5"/>
  <c r="C20" i="4"/>
  <c r="E20" i="4" s="1"/>
  <c r="E16" i="5"/>
  <c r="F16" i="5"/>
  <c r="E15" i="5"/>
  <c r="F15" i="5"/>
  <c r="C31" i="5"/>
  <c r="D31" i="5" s="1"/>
  <c r="F31" i="5" s="1"/>
  <c r="B29" i="8"/>
  <c r="C15" i="4"/>
  <c r="D29" i="5" l="1"/>
  <c r="F29" i="5" s="1"/>
</calcChain>
</file>

<file path=xl/sharedStrings.xml><?xml version="1.0" encoding="utf-8"?>
<sst xmlns="http://schemas.openxmlformats.org/spreadsheetml/2006/main" count="690" uniqueCount="203">
  <si>
    <t>PLANTILLA DE FINANZAS PERSONALES</t>
  </si>
  <si>
    <t>Controla tus ingresos, gastos, presupuesto, ahorro, deudas y patrimonio en un único libro.</t>
  </si>
  <si>
    <t>Cómo usar esta plantilla</t>
  </si>
  <si>
    <t>1. Resumen</t>
  </si>
  <si>
    <t>Panel principal. Elige el mes y el año arriba y todo el libro se actualiza: ingresos, gastos, ahorro, gráficos, patrimonio y metas.</t>
  </si>
  <si>
    <t>2. Transacciones</t>
  </si>
  <si>
    <t>El corazón de la plantilla. Anota aquí cada movimiento (fecha, tipo, categoría, importe...) usando las listas desplegables.</t>
  </si>
  <si>
    <t>3. Presupuesto</t>
  </si>
  <si>
    <t>Compara lo presupuestado con lo realmente gastado por categoría, incluye la regla 50/30/20.</t>
  </si>
  <si>
    <t>4. Ahorro y Metas</t>
  </si>
  <si>
    <t>Define objetivos de ahorro y calcula cuánto debes aportar cada mes para cumplirlos a tiempo.</t>
  </si>
  <si>
    <t>5. Deudas</t>
  </si>
  <si>
    <t>Controla préstamos y tarjetas: saldo, interés y una estimación de los meses que tardarás en liquidarlos.</t>
  </si>
  <si>
    <t>6. Patrimonio</t>
  </si>
  <si>
    <t>Fotografía de lo que tienes (activos) menos lo que debes (pasivos) y su evolución mensual.</t>
  </si>
  <si>
    <t>Código de colores</t>
  </si>
  <si>
    <t>Celda de entrada</t>
  </si>
  <si>
    <t>Aquí introduces tus propios datos (importes, fechas, objetivos...).</t>
  </si>
  <si>
    <t>Celda calculada</t>
  </si>
  <si>
    <t>Se actualiza sola con fórmulas; no hace falta tocarla.</t>
  </si>
  <si>
    <t>Los textos en color verde son cifras enlazadas automáticamente desde otra hoja (por ejemplo, de Deudas o Ahorro y Metas hacia Patrimonio).</t>
  </si>
  <si>
    <t>Mes</t>
  </si>
  <si>
    <t>Tipo</t>
  </si>
  <si>
    <t>CategoriaIngreso</t>
  </si>
  <si>
    <t>CategoriaGasto</t>
  </si>
  <si>
    <t>CategoriaTodas</t>
  </si>
  <si>
    <t>Metodo</t>
  </si>
  <si>
    <t>Categoria</t>
  </si>
  <si>
    <t>Clasificacion</t>
  </si>
  <si>
    <t>CategoriaMeta</t>
  </si>
  <si>
    <t>TipoDeuda</t>
  </si>
  <si>
    <t>Enero</t>
  </si>
  <si>
    <t>Ingreso</t>
  </si>
  <si>
    <t>Nómina</t>
  </si>
  <si>
    <t>Vivienda</t>
  </si>
  <si>
    <t>Efectivo</t>
  </si>
  <si>
    <t>Necesidad</t>
  </si>
  <si>
    <t>Fondo de emergencia</t>
  </si>
  <si>
    <t>Tarjeta de crédito</t>
  </si>
  <si>
    <t>Febrero</t>
  </si>
  <si>
    <t>Gasto</t>
  </si>
  <si>
    <t>Freelance</t>
  </si>
  <si>
    <t>Alimentación</t>
  </si>
  <si>
    <t>Tarjeta débito</t>
  </si>
  <si>
    <t>Viaje</t>
  </si>
  <si>
    <t>Préstamo personal</t>
  </si>
  <si>
    <t>Marzo</t>
  </si>
  <si>
    <t>Otros ingresos</t>
  </si>
  <si>
    <t>Transporte</t>
  </si>
  <si>
    <t>Tarjeta crédito</t>
  </si>
  <si>
    <t>Préstamo coche</t>
  </si>
  <si>
    <t>Abril</t>
  </si>
  <si>
    <t>Salud</t>
  </si>
  <si>
    <t>Transferencia</t>
  </si>
  <si>
    <t>Otro</t>
  </si>
  <si>
    <t>Hipoteca</t>
  </si>
  <si>
    <t>Mayo</t>
  </si>
  <si>
    <t>Ocio y Entretenimiento</t>
  </si>
  <si>
    <t>Deseo</t>
  </si>
  <si>
    <t>Junio</t>
  </si>
  <si>
    <t>Ropa y Cuidado Personal</t>
  </si>
  <si>
    <t>Julio</t>
  </si>
  <si>
    <t>Educación</t>
  </si>
  <si>
    <t>Agosto</t>
  </si>
  <si>
    <t>Suscripciones</t>
  </si>
  <si>
    <t>Septiembre</t>
  </si>
  <si>
    <t>Ahorro e Inversión</t>
  </si>
  <si>
    <t>Ahorro/Deuda</t>
  </si>
  <si>
    <t>Octubre</t>
  </si>
  <si>
    <t>Pago de Deudas</t>
  </si>
  <si>
    <t>Noviembre</t>
  </si>
  <si>
    <t>Otros</t>
  </si>
  <si>
    <t>Diciembre</t>
  </si>
  <si>
    <t>TRANSACCIONES</t>
  </si>
  <si>
    <t>Registra aquí cada ingreso o gasto. Usa las listas desplegables en Tipo, Categoría y Método de pago para mantener la coherencia con el resto de la plantilla.</t>
  </si>
  <si>
    <t>Fecha</t>
  </si>
  <si>
    <t>Categoría</t>
  </si>
  <si>
    <t>Descripción</t>
  </si>
  <si>
    <t>Método de pago</t>
  </si>
  <si>
    <t>Importe (€)</t>
  </si>
  <si>
    <t>Nómina mensual - Estudio Creativo Norte</t>
  </si>
  <si>
    <t>Alquiler piso C/ Mayor 12</t>
  </si>
  <si>
    <t>Factura luz y agua</t>
  </si>
  <si>
    <t>Compra semanal Mercadona</t>
  </si>
  <si>
    <t>Compra semanal Carrefour</t>
  </si>
  <si>
    <t>Abono transporte mensual</t>
  </si>
  <si>
    <t>Diseño de logotipo - cliente Bluewave</t>
  </si>
  <si>
    <t>Seguro médico privado</t>
  </si>
  <si>
    <t>Cena de cumpleaños</t>
  </si>
  <si>
    <t>Netflix + Spotify</t>
  </si>
  <si>
    <t>Cuota gimnasio</t>
  </si>
  <si>
    <t>Pago tarjeta de crédito</t>
  </si>
  <si>
    <t>Cuota préstamo coche</t>
  </si>
  <si>
    <t>Cuota préstamo estudios</t>
  </si>
  <si>
    <t>Transferencia a fondo indexado</t>
  </si>
  <si>
    <t>Regalo cumpleaños amiga</t>
  </si>
  <si>
    <t>Gasolina</t>
  </si>
  <si>
    <t>Farmacia</t>
  </si>
  <si>
    <t>Maquetación revista - cliente Kaia</t>
  </si>
  <si>
    <t>Zapatillas running</t>
  </si>
  <si>
    <t>Cine + palomitas</t>
  </si>
  <si>
    <t>Devolución Hacienda IRPF</t>
  </si>
  <si>
    <t>Curso online UX Research</t>
  </si>
  <si>
    <t>Rediseño web - cliente Orenda</t>
  </si>
  <si>
    <t>Escapada de fin de semana</t>
  </si>
  <si>
    <t>Regalo cumpleaños</t>
  </si>
  <si>
    <t>Identidad visual - cliente Root&amp;Co</t>
  </si>
  <si>
    <t>Concierto</t>
  </si>
  <si>
    <t>Ropa de verano</t>
  </si>
  <si>
    <t>Diseño de packaging - cliente Sumaq</t>
  </si>
  <si>
    <t>Cena y cine</t>
  </si>
  <si>
    <t>Escapada a la playa</t>
  </si>
  <si>
    <t>Multa de aparcamiento</t>
  </si>
  <si>
    <t>Diseño redes sociales - cliente Nordika</t>
  </si>
  <si>
    <t>Vacaciones - actividades</t>
  </si>
  <si>
    <t>Peluquería</t>
  </si>
  <si>
    <t>PANEL DE CONTROL FINANCIERO</t>
  </si>
  <si>
    <t>Selecciona el mes y el año para actualizar automáticamente todo el panel.</t>
  </si>
  <si>
    <t>Cálculos auxiliares (no editar)</t>
  </si>
  <si>
    <t>Mes a analizar:</t>
  </si>
  <si>
    <t>Año:</t>
  </si>
  <si>
    <t>Nº de mes</t>
  </si>
  <si>
    <t>Fecha inicio</t>
  </si>
  <si>
    <t>Fecha fin</t>
  </si>
  <si>
    <t>Ingresos del mes</t>
  </si>
  <si>
    <t>Gastos del mes</t>
  </si>
  <si>
    <t>Ahorro del mes</t>
  </si>
  <si>
    <t>Tasa de ahorro</t>
  </si>
  <si>
    <t>Patrimonio Neto</t>
  </si>
  <si>
    <t>Metas de Ahorro</t>
  </si>
  <si>
    <t>Deudas Pendientes</t>
  </si>
  <si>
    <t>Total activos</t>
  </si>
  <si>
    <t>Ahorrado hasta hoy</t>
  </si>
  <si>
    <t>Deuda total pendiente</t>
  </si>
  <si>
    <t>Total pasivos</t>
  </si>
  <si>
    <t>Objetivo total</t>
  </si>
  <si>
    <t>Pago mensual total</t>
  </si>
  <si>
    <t>Patrimonio neto</t>
  </si>
  <si>
    <t>% completado global</t>
  </si>
  <si>
    <t>Evolución - Últimos 6 meses</t>
  </si>
  <si>
    <t>Ingresos (€)</t>
  </si>
  <si>
    <t>Gastos (€)</t>
  </si>
  <si>
    <t>Ahorro (€)</t>
  </si>
  <si>
    <t>PRESUPUESTO MENSUAL</t>
  </si>
  <si>
    <t>Analizando:</t>
  </si>
  <si>
    <t>(el mes se cambia en la hoja Resumen)</t>
  </si>
  <si>
    <t>GASTOS POR CATEGORÍA</t>
  </si>
  <si>
    <t>Clasificación</t>
  </si>
  <si>
    <t>Presupuestado (€)</t>
  </si>
  <si>
    <t>Real (€)</t>
  </si>
  <si>
    <t>Diferencia (€)</t>
  </si>
  <si>
    <t>% Usado</t>
  </si>
  <si>
    <t>TOTAL GASTOS</t>
  </si>
  <si>
    <t>INGRESOS</t>
  </si>
  <si>
    <t>TOTAL INGRESOS</t>
  </si>
  <si>
    <t>REGLA 50 / 30 / 20</t>
  </si>
  <si>
    <t>% objetivo</t>
  </si>
  <si>
    <t>% real</t>
  </si>
  <si>
    <t>Estado</t>
  </si>
  <si>
    <t>AHORRO Y METAS</t>
  </si>
  <si>
    <t>Define tus objetivos de ahorro y controla el progreso mes a mes.</t>
  </si>
  <si>
    <t>Meta</t>
  </si>
  <si>
    <t>Importe objetivo (€)</t>
  </si>
  <si>
    <t>Ahorrado actual (€)</t>
  </si>
  <si>
    <t>Fecha objetivo</t>
  </si>
  <si>
    <t>Meses restantes</t>
  </si>
  <si>
    <t>Aporte mensual necesario (€)</t>
  </si>
  <si>
    <t>% Completado</t>
  </si>
  <si>
    <t>Viaje a Japón</t>
  </si>
  <si>
    <t>Entrada para vivienda</t>
  </si>
  <si>
    <t>TOTAL</t>
  </si>
  <si>
    <t>DEUDAS</t>
  </si>
  <si>
    <t>Controla tus préstamos y tarjetas: saldo, interés y meses estimados para liquidarlos.</t>
  </si>
  <si>
    <t>Deuda</t>
  </si>
  <si>
    <t>Saldo pendiente (€)</t>
  </si>
  <si>
    <t>TAE (%)</t>
  </si>
  <si>
    <t>Pago mensual (€)</t>
  </si>
  <si>
    <t>Meses restantes (est.)</t>
  </si>
  <si>
    <t>Interés total est. (€)</t>
  </si>
  <si>
    <t>Tarjeta Visa Oro</t>
  </si>
  <si>
    <t>Préstamo estudios</t>
  </si>
  <si>
    <t>Nota: los meses restantes e interés total son una estimación (cuota fija, sin cambios de tipo de interés).</t>
  </si>
  <si>
    <t>PATRIMONIO NETO</t>
  </si>
  <si>
    <t>Lo que tienes menos lo que debes. Actualiza los activos cada mes para ver tu evolución real.</t>
  </si>
  <si>
    <t>ACTIVOS</t>
  </si>
  <si>
    <t>Concepto</t>
  </si>
  <si>
    <t>Valor (€)</t>
  </si>
  <si>
    <t>Cuenta corriente</t>
  </si>
  <si>
    <t>Cuenta de ahorro y metas</t>
  </si>
  <si>
    <t>Fondo de inversión indexado</t>
  </si>
  <si>
    <t>Vehículo (valor estimado)</t>
  </si>
  <si>
    <t>Otros activos</t>
  </si>
  <si>
    <t>TOTAL ACTIVOS</t>
  </si>
  <si>
    <t>PASIVOS</t>
  </si>
  <si>
    <t>TOTAL PASIVOS</t>
  </si>
  <si>
    <t>Evolución del patrimonio neto</t>
  </si>
  <si>
    <t>Patrimonio Neto (€)</t>
  </si>
  <si>
    <t>Marzo 2026</t>
  </si>
  <si>
    <t>Abril 2026</t>
  </si>
  <si>
    <t>Mayo 2026</t>
  </si>
  <si>
    <t>Junio 2026</t>
  </si>
  <si>
    <t>Julio 2026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</si>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</sst>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0.0%"/>
    <numFmt numFmtId="166" formatCode="#,##0&quot; €&quot;"/>
  </numFmts>
  <fonts count="24" x14ac:knownFonts="1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i/>
      <sz val="9.5"/>
      <color rgb="FF5B6470"/>
      <name val="Arial"/>
      <charset val="1"/>
    </font>
    <font>
      <b/>
      <sz val="11"/>
      <color rgb="FFFFFFFF"/>
      <name val="Arial"/>
      <charset val="1"/>
    </font>
    <font>
      <b/>
      <sz val="10.5"/>
      <color rgb="FF12283F"/>
      <name val="Arial"/>
      <charset val="1"/>
    </font>
    <font>
      <sz val="10"/>
      <color rgb="FF1A1A1A"/>
      <name val="Arial"/>
      <charset val="1"/>
    </font>
    <font>
      <b/>
      <sz val="11"/>
      <color rgb="FF12283F"/>
      <name val="Arial"/>
      <charset val="1"/>
    </font>
    <font>
      <b/>
      <sz val="10"/>
      <name val="Arial"/>
      <charset val="1"/>
    </font>
    <font>
      <i/>
      <sz val="9.5"/>
      <color rgb="FF1E6B3E"/>
      <name val="Arial"/>
      <charset val="1"/>
    </font>
    <font>
      <b/>
      <sz val="9"/>
      <color rgb="FFFFFFFF"/>
      <name val="Arial"/>
      <charset val="1"/>
    </font>
    <font>
      <sz val="9.5"/>
      <color rgb="FF1A1A1A"/>
      <name val="Arial"/>
      <charset val="1"/>
    </font>
    <font>
      <b/>
      <sz val="15"/>
      <color rgb="FFFFFFFF"/>
      <name val="Arial"/>
      <charset val="1"/>
    </font>
    <font>
      <b/>
      <sz val="9.5"/>
      <color rgb="FFFFFFFF"/>
      <name val="Arial"/>
      <charset val="1"/>
    </font>
    <font>
      <sz val="10"/>
      <color rgb="FF1F4E99"/>
      <name val="Arial"/>
      <charset val="1"/>
    </font>
    <font>
      <b/>
      <sz val="17"/>
      <color rgb="FFFFFFFF"/>
      <name val="Arial"/>
      <charset val="1"/>
    </font>
    <font>
      <i/>
      <sz val="8"/>
      <color rgb="FF8A8F98"/>
      <name val="Arial"/>
      <charset val="1"/>
    </font>
    <font>
      <b/>
      <sz val="10"/>
      <color rgb="FF1A1A1A"/>
      <name val="Arial"/>
      <charset val="1"/>
    </font>
    <font>
      <b/>
      <sz val="17"/>
      <color rgb="FF12283F"/>
      <name val="Arial"/>
      <charset val="1"/>
    </font>
    <font>
      <sz val="10"/>
      <color rgb="FF1E6B3E"/>
      <name val="Arial"/>
      <charset val="1"/>
    </font>
    <font>
      <b/>
      <sz val="10"/>
      <color rgb="FF1E6B3E"/>
      <name val="Arial"/>
      <charset val="1"/>
    </font>
    <font>
      <b/>
      <sz val="16"/>
      <color rgb="FFFFFFFF"/>
      <name val="Arial"/>
      <charset val="1"/>
    </font>
    <font>
      <b/>
      <sz val="11"/>
      <color rgb="FF1B3B5F"/>
      <name val="Arial"/>
      <charset val="1"/>
    </font>
    <font>
      <b/>
      <sz val="10"/>
      <color rgb="FFFFFFFF"/>
      <name val="Arial"/>
      <charset val="1"/>
    </font>
    <font>
      <b/>
      <sz val="13"/>
      <color rgb="FF12283F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1B3B5F"/>
        <bgColor rgb="FF12283F"/>
      </patternFill>
    </fill>
    <fill>
      <patternFill patternType="solid">
        <fgColor rgb="FF2E7D7B"/>
        <bgColor rgb="FF4672A8"/>
      </patternFill>
    </fill>
    <fill>
      <patternFill patternType="solid">
        <fgColor rgb="FFC99A3C"/>
        <bgColor rgb="FFDC853E"/>
      </patternFill>
    </fill>
    <fill>
      <patternFill patternType="solid">
        <fgColor rgb="FFFFF6D9"/>
        <bgColor rgb="FFFBF1DC"/>
      </patternFill>
    </fill>
    <fill>
      <patternFill patternType="solid">
        <fgColor rgb="FFF2F5F7"/>
        <bgColor rgb="FFF9F9F9"/>
      </patternFill>
    </fill>
    <fill>
      <patternFill patternType="solid">
        <fgColor rgb="FF12283F"/>
        <bgColor rgb="FF1A1A1A"/>
      </patternFill>
    </fill>
    <fill>
      <patternFill patternType="solid">
        <fgColor rgb="FFE8EEF2"/>
        <bgColor rgb="FFE4F3E6"/>
      </patternFill>
    </fill>
    <fill>
      <patternFill patternType="solid">
        <fgColor rgb="FFFBF1DC"/>
        <bgColor rgb="FFFFF6D9"/>
      </patternFill>
    </fill>
  </fills>
  <borders count="3">
    <border>
      <left/>
      <right/>
      <top/>
      <bottom/>
      <diagonal/>
    </border>
    <border>
      <left style="thin">
        <color rgb="FFD3D8DD"/>
      </left>
      <right style="thin">
        <color rgb="FFD3D8DD"/>
      </right>
      <top style="thin">
        <color rgb="FFD3D8DD"/>
      </top>
      <bottom style="thin">
        <color rgb="FFD3D8DD"/>
      </bottom>
      <diagonal/>
    </border>
    <border>
      <left/>
      <right/>
      <top/>
      <bottom style="thin">
        <color rgb="FFB9C2CA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17" fillId="6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6" fillId="4" borderId="0" xfId="0" applyFont="1" applyFill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3" fillId="3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5" borderId="1" xfId="0" applyFill="1" applyBorder="1"/>
    <xf numFmtId="0" fontId="0" fillId="6" borderId="1" xfId="0" applyFill="1" applyBorder="1"/>
    <xf numFmtId="0" fontId="9" fillId="2" borderId="0" xfId="0" applyFont="1" applyFill="1"/>
    <xf numFmtId="0" fontId="10" fillId="0" borderId="0" xfId="0" applyFont="1"/>
    <xf numFmtId="0" fontId="12" fillId="7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1"/>
    </xf>
    <xf numFmtId="164" fontId="1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13" fillId="8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center" indent="1"/>
    </xf>
    <xf numFmtId="164" fontId="13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left" vertical="center" indent="1"/>
    </xf>
    <xf numFmtId="0" fontId="13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14" fontId="15" fillId="0" borderId="0" xfId="0" applyNumberFormat="1" applyFont="1"/>
    <xf numFmtId="0" fontId="5" fillId="0" borderId="2" xfId="0" applyFont="1" applyBorder="1" applyAlignment="1">
      <alignment horizontal="left" vertical="center" indent="1"/>
    </xf>
    <xf numFmtId="166" fontId="18" fillId="0" borderId="2" xfId="0" applyNumberFormat="1" applyFont="1" applyBorder="1" applyAlignment="1">
      <alignment horizontal="center" vertical="center"/>
    </xf>
    <xf numFmtId="166" fontId="19" fillId="0" borderId="2" xfId="0" applyNumberFormat="1" applyFont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166" fontId="16" fillId="8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66" fontId="5" fillId="0" borderId="1" xfId="0" applyNumberFormat="1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5" fillId="8" borderId="1" xfId="0" applyFont="1" applyFill="1" applyBorder="1" applyAlignment="1">
      <alignment horizontal="left" vertical="center" indent="1"/>
    </xf>
    <xf numFmtId="166" fontId="13" fillId="5" borderId="1" xfId="0" applyNumberFormat="1" applyFont="1" applyFill="1" applyBorder="1" applyAlignment="1">
      <alignment horizontal="center" vertical="center"/>
    </xf>
    <xf numFmtId="165" fontId="16" fillId="8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165" fontId="16" fillId="0" borderId="1" xfId="0" applyNumberFormat="1" applyFont="1" applyBorder="1" applyAlignment="1">
      <alignment horizontal="center" vertical="center"/>
    </xf>
    <xf numFmtId="0" fontId="22" fillId="7" borderId="1" xfId="0" applyFont="1" applyFill="1" applyBorder="1"/>
    <xf numFmtId="166" fontId="22" fillId="7" borderId="1" xfId="0" applyNumberFormat="1" applyFont="1" applyFill="1" applyBorder="1" applyAlignment="1">
      <alignment horizontal="center"/>
    </xf>
    <xf numFmtId="165" fontId="22" fillId="7" borderId="1" xfId="0" applyNumberFormat="1" applyFont="1" applyFill="1" applyBorder="1" applyAlignment="1">
      <alignment horizontal="center"/>
    </xf>
    <xf numFmtId="0" fontId="0" fillId="0" borderId="1" xfId="0" applyBorder="1"/>
    <xf numFmtId="166" fontId="13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1" fontId="5" fillId="8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0" fontId="23" fillId="9" borderId="0" xfId="0" applyFont="1" applyFill="1"/>
    <xf numFmtId="166" fontId="23" fillId="4" borderId="0" xfId="0" applyNumberFormat="1" applyFont="1" applyFill="1" applyAlignment="1">
      <alignment horizontal="center"/>
    </xf>
    <xf numFmtId="166" fontId="19" fillId="0" borderId="1" xfId="0" applyNumberFormat="1" applyFont="1" applyBorder="1" applyAlignment="1">
      <alignment horizontal="center" vertical="center"/>
    </xf>
    <xf numFmtId="165" fontId="17" fillId="6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 indent="1"/>
    </xf>
    <xf numFmtId="0" fontId="20" fillId="2" borderId="0" xfId="0" applyFont="1" applyFill="1" applyAlignment="1">
      <alignment horizontal="left" vertical="center" indent="1"/>
    </xf>
    <xf numFmtId="0" fontId="15" fillId="0" borderId="0" xfId="0" applyFont="1"/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Standard" xfId="0" builtinId="0"/>
  </cellStyles>
  <dxfs count="5">
    <dxf>
      <font>
        <b/>
        <color rgb="FF2E7D32"/>
      </font>
    </dxf>
    <dxf>
      <font>
        <b/>
        <color rgb="FFC62828"/>
      </font>
    </dxf>
    <dxf>
      <font>
        <b/>
        <color rgb="FFC62828"/>
      </font>
    </dxf>
    <dxf>
      <fill>
        <patternFill>
          <bgColor rgb="FFFBE4E4"/>
        </patternFill>
      </fill>
    </dxf>
    <dxf>
      <fill>
        <patternFill>
          <bgColor rgb="FFE4F3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9F9F9"/>
      <rgbColor rgb="FFFF00FF"/>
      <rgbColor rgb="FF00FFFF"/>
      <rgbColor rgb="FF800000"/>
      <rgbColor rgb="FF2E7D32"/>
      <rgbColor rgb="FF000080"/>
      <rgbColor rgb="FF8AA64F"/>
      <rgbColor rgb="FF800080"/>
      <rgbColor rgb="FF1E6B3E"/>
      <rgbColor rgb="FFBFBFBF"/>
      <rgbColor rgb="FF878787"/>
      <rgbColor rgb="FF93A9CE"/>
      <rgbColor rgb="FFAB4744"/>
      <rgbColor rgb="FFFFF6D9"/>
      <rgbColor rgb="FFE4F3E6"/>
      <rgbColor rgb="FF660066"/>
      <rgbColor rgb="FFDC853E"/>
      <rgbColor rgb="FF4672A8"/>
      <rgbColor rgb="FFD3D8DD"/>
      <rgbColor rgb="FF000080"/>
      <rgbColor rgb="FFFF00FF"/>
      <rgbColor rgb="FFB9C2CA"/>
      <rgbColor rgb="FF00FFFF"/>
      <rgbColor rgb="FF800080"/>
      <rgbColor rgb="FF800000"/>
      <rgbColor rgb="FF4F81BD"/>
      <rgbColor rgb="FF0000FF"/>
      <rgbColor rgb="FF00CCFF"/>
      <rgbColor rgb="FFE8EEF2"/>
      <rgbColor rgb="FFF2F5F7"/>
      <rgbColor rgb="FFFBF1DC"/>
      <rgbColor rgb="FF92C3D5"/>
      <rgbColor rgb="FFD09493"/>
      <rgbColor rgb="FFA99BBD"/>
      <rgbColor rgb="FFFBE4E4"/>
      <rgbColor rgb="FF4A7EBB"/>
      <rgbColor rgb="FF4299B0"/>
      <rgbColor rgb="FFB8CD97"/>
      <rgbColor rgb="FFD9D9D9"/>
      <rgbColor rgb="FFC99A3C"/>
      <rgbColor rgb="FFFF6600"/>
      <rgbColor rgb="FF725990"/>
      <rgbColor rgb="FF8A8F98"/>
      <rgbColor rgb="FF1B3B5F"/>
      <rgbColor rgb="FF2E7D7B"/>
      <rgbColor rgb="FF5B6470"/>
      <rgbColor rgb="FF1A1A1A"/>
      <rgbColor rgb="FFC62828"/>
      <rgbColor rgb="FFC0504D"/>
      <rgbColor rgb="FF1F4E99"/>
      <rgbColor rgb="FF1228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5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500" b="1" strike="noStrike" spc="-1">
                <a:solidFill>
                  <a:srgbClr val="000000"/>
                </a:solidFill>
                <a:latin typeface="Calibri"/>
              </a:rPr>
              <a:t>Gastos por categoría (mes seleccionado)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Presupuesto!$D$6</c:f>
              <c:strCache>
                <c:ptCount val="1"/>
                <c:pt idx="0">
                  <c:v>Real (€)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5102-4E1C-8BEB-04C37195B239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02-4E1C-8BEB-04C37195B239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02-4E1C-8BEB-04C37195B239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02-4E1C-8BEB-04C37195B239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02-4E1C-8BEB-04C37195B239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02-4E1C-8BEB-04C37195B239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5102-4E1C-8BEB-04C37195B239}"/>
              </c:ext>
            </c:extLst>
          </c:dPt>
          <c:dPt>
            <c:idx val="7"/>
            <c:bubble3D val="0"/>
            <c:spPr>
              <a:solidFill>
                <a:srgbClr val="D0949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5102-4E1C-8BEB-04C37195B239}"/>
              </c:ext>
            </c:extLst>
          </c:dPt>
          <c:dPt>
            <c:idx val="8"/>
            <c:bubble3D val="0"/>
            <c:spPr>
              <a:solidFill>
                <a:srgbClr val="B8CD9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5102-4E1C-8BEB-04C37195B239}"/>
              </c:ext>
            </c:extLst>
          </c:dPt>
          <c:dPt>
            <c:idx val="9"/>
            <c:bubble3D val="0"/>
            <c:spPr>
              <a:solidFill>
                <a:srgbClr val="A99B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5102-4E1C-8BEB-04C37195B239}"/>
              </c:ext>
            </c:extLst>
          </c:dPt>
          <c:dPt>
            <c:idx val="10"/>
            <c:bubble3D val="0"/>
            <c:spPr>
              <a:solidFill>
                <a:srgbClr val="92C3D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5102-4E1C-8BEB-04C37195B239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5102-4E1C-8BEB-04C37195B239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5102-4E1C-8BEB-04C37195B239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5102-4E1C-8BEB-04C37195B239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5102-4E1C-8BEB-04C37195B239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5102-4E1C-8BEB-04C37195B239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5102-4E1C-8BEB-04C37195B239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5102-4E1C-8BEB-04C37195B239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5102-4E1C-8BEB-04C37195B239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1-5102-4E1C-8BEB-04C37195B239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3-5102-4E1C-8BEB-04C37195B239}"/>
                </c:ext>
              </c:extLst>
            </c:dLbl>
            <c:dLbl>
              <c:idx val="1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5-5102-4E1C-8BEB-04C37195B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Presupuesto!$A$7:$A$17</c:f>
              <c:strCache>
                <c:ptCount val="11"/>
                <c:pt idx="0">
                  <c:v>Vivienda</c:v>
                </c:pt>
                <c:pt idx="1">
                  <c:v>Alimentación</c:v>
                </c:pt>
                <c:pt idx="2">
                  <c:v>Transporte</c:v>
                </c:pt>
                <c:pt idx="3">
                  <c:v>Salud</c:v>
                </c:pt>
                <c:pt idx="4">
                  <c:v>Ocio y Entretenimiento</c:v>
                </c:pt>
                <c:pt idx="5">
                  <c:v>Ropa y Cuidado Personal</c:v>
                </c:pt>
                <c:pt idx="6">
                  <c:v>Educación</c:v>
                </c:pt>
                <c:pt idx="7">
                  <c:v>Suscripciones</c:v>
                </c:pt>
                <c:pt idx="8">
                  <c:v>Ahorro e Inversión</c:v>
                </c:pt>
                <c:pt idx="9">
                  <c:v>Pago de Deudas</c:v>
                </c:pt>
                <c:pt idx="10">
                  <c:v>Otros</c:v>
                </c:pt>
              </c:strCache>
            </c:strRef>
          </c:cat>
          <c:val>
            <c:numRef>
              <c:f>Presupuesto!$D$7:$D$17</c:f>
              <c:numCache>
                <c:formatCode>#,##0" €"</c:formatCode>
                <c:ptCount val="11"/>
                <c:pt idx="0">
                  <c:v>755</c:v>
                </c:pt>
                <c:pt idx="1">
                  <c:v>228</c:v>
                </c:pt>
                <c:pt idx="2">
                  <c:v>100</c:v>
                </c:pt>
                <c:pt idx="3">
                  <c:v>45</c:v>
                </c:pt>
                <c:pt idx="4">
                  <c:v>150</c:v>
                </c:pt>
                <c:pt idx="5">
                  <c:v>45</c:v>
                </c:pt>
                <c:pt idx="6">
                  <c:v>0</c:v>
                </c:pt>
                <c:pt idx="7">
                  <c:v>58</c:v>
                </c:pt>
                <c:pt idx="8">
                  <c:v>300</c:v>
                </c:pt>
                <c:pt idx="9">
                  <c:v>470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02-4E1C-8BEB-04C37195B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2F5F7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Ingresos vs. Gastos - Últimos 6 meses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Resumen!$C$19</c:f>
              <c:strCache>
                <c:ptCount val="1"/>
                <c:pt idx="0">
                  <c:v>Ingresos (€)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Resumen!$B$20:$B$25</c:f>
              <c:strCache>
                <c:ptCount val="6"/>
                <c:pt idx="0">
                  <c:v>Marzo 2026</c:v>
                </c:pt>
                <c:pt idx="1">
                  <c:v>Abril 2026</c:v>
                </c:pt>
                <c:pt idx="2">
                  <c:v>Mayo 2026</c:v>
                </c:pt>
                <c:pt idx="3">
                  <c:v>Junio 2026</c:v>
                </c:pt>
                <c:pt idx="4">
                  <c:v>Julio 2026</c:v>
                </c:pt>
                <c:pt idx="5">
                  <c:v>Agosto 2026</c:v>
                </c:pt>
              </c:strCache>
            </c:strRef>
          </c:cat>
          <c:val>
            <c:numRef>
              <c:f>Resumen!$C$20:$C$25</c:f>
              <c:numCache>
                <c:formatCode>#,##0" €"</c:formatCode>
                <c:ptCount val="6"/>
                <c:pt idx="0">
                  <c:v>2450</c:v>
                </c:pt>
                <c:pt idx="1">
                  <c:v>2760</c:v>
                </c:pt>
                <c:pt idx="2">
                  <c:v>2620</c:v>
                </c:pt>
                <c:pt idx="3">
                  <c:v>2500</c:v>
                </c:pt>
                <c:pt idx="4">
                  <c:v>2700</c:v>
                </c:pt>
                <c:pt idx="5">
                  <c:v>2480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6-4065-B918-32757A2DB7F7}"/>
            </c:ext>
          </c:extLst>
        </c:ser>
        <c:ser>
          <c:idx val="1"/>
          <c:order val="1"/>
          <c:tx>
            <c:strRef>
              <c:f>Resumen!$D$19</c:f>
              <c:strCache>
                <c:ptCount val="1"/>
                <c:pt idx="0">
                  <c:v>Gastos (€)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Resumen!$B$20:$B$25</c:f>
              <c:strCache>
                <c:ptCount val="6"/>
                <c:pt idx="0">
                  <c:v>Marzo 2026</c:v>
                </c:pt>
                <c:pt idx="1">
                  <c:v>Abril 2026</c:v>
                </c:pt>
                <c:pt idx="2">
                  <c:v>Mayo 2026</c:v>
                </c:pt>
                <c:pt idx="3">
                  <c:v>Junio 2026</c:v>
                </c:pt>
                <c:pt idx="4">
                  <c:v>Julio 2026</c:v>
                </c:pt>
                <c:pt idx="5">
                  <c:v>Agosto 2026</c:v>
                </c:pt>
              </c:strCache>
            </c:strRef>
          </c:cat>
          <c:val>
            <c:numRef>
              <c:f>Resumen!$D$20:$D$25</c:f>
              <c:numCache>
                <c:formatCode>#,##0" €"</c:formatCode>
                <c:ptCount val="6"/>
                <c:pt idx="0">
                  <c:v>1931</c:v>
                </c:pt>
                <c:pt idx="1">
                  <c:v>2030</c:v>
                </c:pt>
                <c:pt idx="2">
                  <c:v>2032</c:v>
                </c:pt>
                <c:pt idx="3">
                  <c:v>2062</c:v>
                </c:pt>
                <c:pt idx="4">
                  <c:v>2118</c:v>
                </c:pt>
                <c:pt idx="5">
                  <c:v>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6-4065-B918-32757A2DB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3426"/>
        <c:axId val="75085729"/>
      </c:barChart>
      <c:catAx>
        <c:axId val="2404342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085729"/>
        <c:crosses val="autoZero"/>
        <c:auto val="1"/>
        <c:lblAlgn val="ctr"/>
        <c:lblOffset val="100"/>
        <c:noMultiLvlLbl val="0"/>
      </c:catAx>
      <c:valAx>
        <c:axId val="7508572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Euros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4043426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2F5F7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Evolución del patrimonio neto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Patrimonio!$B$23</c:f>
              <c:strCache>
                <c:ptCount val="1"/>
                <c:pt idx="0">
                  <c:v>Patrimonio Neto (€)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circle"/>
            <c:size val="5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Patrimonio!$A$24:$A$29</c:f>
              <c:strCache>
                <c:ptCount val="6"/>
                <c:pt idx="0">
                  <c:v>Marzo 2026</c:v>
                </c:pt>
                <c:pt idx="1">
                  <c:v>Abril 2026</c:v>
                </c:pt>
                <c:pt idx="2">
                  <c:v>Mayo 2026</c:v>
                </c:pt>
                <c:pt idx="3">
                  <c:v>Junio 2026</c:v>
                </c:pt>
                <c:pt idx="4">
                  <c:v>Julio 2026</c:v>
                </c:pt>
                <c:pt idx="5">
                  <c:v>Agosto 2026</c:v>
                </c:pt>
              </c:strCache>
            </c:strRef>
          </c:cat>
          <c:val>
            <c:numRef>
              <c:f>Patrimonio!$B$24:$B$29</c:f>
              <c:numCache>
                <c:formatCode>#,##0" €"</c:formatCode>
                <c:ptCount val="6"/>
                <c:pt idx="0">
                  <c:v>9800</c:v>
                </c:pt>
                <c:pt idx="1">
                  <c:v>10100</c:v>
                </c:pt>
                <c:pt idx="2">
                  <c:v>10450</c:v>
                </c:pt>
                <c:pt idx="3">
                  <c:v>10800</c:v>
                </c:pt>
                <c:pt idx="4">
                  <c:v>11050</c:v>
                </c:pt>
                <c:pt idx="5">
                  <c:v>11250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2-4F12-9210-7A949C4EB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0349471"/>
        <c:axId val="32553653"/>
      </c:lineChart>
      <c:catAx>
        <c:axId val="2034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2553653"/>
        <c:crosses val="autoZero"/>
        <c:auto val="1"/>
        <c:lblAlgn val="ctr"/>
        <c:lblOffset val="100"/>
        <c:noMultiLvlLbl val="0"/>
      </c:catAx>
      <c:valAx>
        <c:axId val="325536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Euros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034947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15</xdr:row>
      <xdr:rowOff>38100</xdr:rowOff>
    </xdr:from>
    <xdr:to>
      <xdr:col>12</xdr:col>
      <xdr:colOff>352425</xdr:colOff>
      <xdr:row>27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28574</xdr:colOff>
      <xdr:row>28</xdr:row>
      <xdr:rowOff>28575</xdr:rowOff>
    </xdr:from>
    <xdr:to>
      <xdr:col>12</xdr:col>
      <xdr:colOff>352424</xdr:colOff>
      <xdr:row>44</xdr:row>
      <xdr:rowOff>40095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12</xdr:col>
      <xdr:colOff>295920</xdr:colOff>
      <xdr:row>17</xdr:row>
      <xdr:rowOff>98280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3B5F"/>
    <pageSetUpPr fitToPage="1"/>
  </sheetPr>
  <dimension ref="A1:AC25"/>
  <sheetViews>
    <sheetView showGridLines="0" tabSelected="1" zoomScaleNormal="100" workbookViewId="0">
      <selection activeCell="R50" sqref="R50"/>
    </sheetView>
  </sheetViews>
  <sheetFormatPr baseColWidth="10" defaultColWidth="8.7109375" defaultRowHeight="15" x14ac:dyDescent="0.25"/>
  <cols>
    <col min="1" max="1" width="2.42578125" customWidth="1"/>
    <col min="2" max="2" width="21" customWidth="1"/>
    <col min="3" max="3" width="13" customWidth="1"/>
    <col min="4" max="4" width="16" customWidth="1"/>
    <col min="5" max="5" width="21" customWidth="1"/>
    <col min="6" max="6" width="13" customWidth="1"/>
    <col min="7" max="7" width="3" customWidth="1"/>
    <col min="8" max="8" width="21" customWidth="1"/>
    <col min="9" max="10" width="13" customWidth="1"/>
    <col min="11" max="12" width="13" hidden="1" customWidth="1"/>
  </cols>
  <sheetData>
    <row r="1" spans="1:29" ht="30" customHeight="1" x14ac:dyDescent="0.25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15" customHeight="1" x14ac:dyDescent="0.25">
      <c r="A2" s="13" t="s">
        <v>117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29" x14ac:dyDescent="0.25">
      <c r="I3" s="31" t="s">
        <v>118</v>
      </c>
    </row>
    <row r="4" spans="1:29" x14ac:dyDescent="0.25">
      <c r="B4" s="32" t="s">
        <v>119</v>
      </c>
      <c r="C4" s="3" t="s">
        <v>63</v>
      </c>
      <c r="D4" s="3"/>
      <c r="E4" s="32" t="s">
        <v>120</v>
      </c>
      <c r="F4" s="34">
        <v>2026</v>
      </c>
      <c r="I4" s="31" t="s">
        <v>121</v>
      </c>
      <c r="J4" s="31">
        <f>MATCH(C4,Listas!$A$2:$A$13,0)</f>
        <v>8</v>
      </c>
    </row>
    <row r="5" spans="1:29" x14ac:dyDescent="0.25">
      <c r="I5" s="31" t="s">
        <v>122</v>
      </c>
      <c r="J5" s="35">
        <f>DATE(F4,J4,1)</f>
        <v>46235</v>
      </c>
    </row>
    <row r="6" spans="1:29" x14ac:dyDescent="0.25">
      <c r="I6" s="31" t="s">
        <v>123</v>
      </c>
      <c r="J6" s="35">
        <f>EOMONTH(J5,0)</f>
        <v>46265</v>
      </c>
    </row>
    <row r="8" spans="1:29" ht="15.75" customHeight="1" x14ac:dyDescent="0.25">
      <c r="B8" s="2" t="s">
        <v>124</v>
      </c>
      <c r="C8" s="2"/>
      <c r="D8" s="2" t="s">
        <v>125</v>
      </c>
      <c r="E8" s="2"/>
      <c r="F8" s="2" t="s">
        <v>126</v>
      </c>
      <c r="G8" s="2"/>
      <c r="H8" s="2" t="s">
        <v>127</v>
      </c>
      <c r="I8" s="2"/>
    </row>
    <row r="9" spans="1:29" ht="30" customHeight="1" x14ac:dyDescent="0.25">
      <c r="B9" s="1">
        <f>SUMIFS(Transacciones!$F:$F,Transacciones!$B:$B,"Ingreso",Transacciones!$A:$A,"&gt;="&amp;$J$5,Transacciones!$A:$A,"&lt;="&amp;$J$6)</f>
        <v>2480</v>
      </c>
      <c r="C9" s="1"/>
      <c r="D9" s="1">
        <f>SUMIFS(Transacciones!$F:$F,Transacciones!$B:$B,"Gasto",Transacciones!$A:$A,"&gt;="&amp;$J$5,Transacciones!$A:$A,"&lt;="&amp;$J$6)</f>
        <v>2151</v>
      </c>
      <c r="E9" s="1"/>
      <c r="F9" s="1">
        <f>B9-D9</f>
        <v>329</v>
      </c>
      <c r="G9" s="1"/>
      <c r="H9" s="66">
        <f>IFERROR(F9/B9,0)</f>
        <v>0.13266129032258064</v>
      </c>
      <c r="I9" s="66"/>
    </row>
    <row r="12" spans="1:29" ht="18" customHeight="1" x14ac:dyDescent="0.25">
      <c r="B12" s="12" t="s">
        <v>128</v>
      </c>
      <c r="C12" s="12"/>
      <c r="E12" s="12" t="s">
        <v>129</v>
      </c>
      <c r="F12" s="12"/>
      <c r="H12" s="12" t="s">
        <v>130</v>
      </c>
      <c r="I12" s="12"/>
    </row>
    <row r="13" spans="1:29" x14ac:dyDescent="0.25">
      <c r="B13" s="36" t="s">
        <v>131</v>
      </c>
      <c r="C13" s="37">
        <f>Patrimonio!B11</f>
        <v>23250</v>
      </c>
      <c r="E13" s="36" t="s">
        <v>132</v>
      </c>
      <c r="F13" s="37">
        <f>'Ahorro y Metas'!D8</f>
        <v>9500</v>
      </c>
      <c r="H13" s="36" t="s">
        <v>133</v>
      </c>
      <c r="I13" s="38">
        <f>Deudas!C8</f>
        <v>12000</v>
      </c>
    </row>
    <row r="14" spans="1:29" x14ac:dyDescent="0.25">
      <c r="B14" s="36" t="s">
        <v>134</v>
      </c>
      <c r="C14" s="37">
        <f>Patrimonio!B18</f>
        <v>12000</v>
      </c>
      <c r="E14" s="36" t="s">
        <v>135</v>
      </c>
      <c r="F14" s="37">
        <f>'Ahorro y Metas'!C8</f>
        <v>28500</v>
      </c>
      <c r="H14" s="36" t="s">
        <v>136</v>
      </c>
      <c r="I14" s="37">
        <f>Deudas!E8</f>
        <v>470</v>
      </c>
    </row>
    <row r="15" spans="1:29" x14ac:dyDescent="0.25">
      <c r="B15" s="36" t="s">
        <v>137</v>
      </c>
      <c r="C15" s="38">
        <f>Patrimonio!B20</f>
        <v>11250</v>
      </c>
      <c r="E15" s="36" t="s">
        <v>138</v>
      </c>
      <c r="F15" s="39">
        <f>IFERROR(F13/F14,0)</f>
        <v>0.33333333333333331</v>
      </c>
    </row>
    <row r="18" spans="2:12" ht="18" customHeight="1" x14ac:dyDescent="0.25">
      <c r="B18" s="67" t="s">
        <v>139</v>
      </c>
      <c r="C18" s="67"/>
      <c r="D18" s="67"/>
      <c r="E18" s="67"/>
    </row>
    <row r="19" spans="2:12" ht="25.5" customHeight="1" x14ac:dyDescent="0.25">
      <c r="B19" s="20" t="s">
        <v>21</v>
      </c>
      <c r="C19" s="20" t="s">
        <v>140</v>
      </c>
      <c r="D19" s="20" t="s">
        <v>141</v>
      </c>
      <c r="E19" s="20" t="s">
        <v>142</v>
      </c>
    </row>
    <row r="20" spans="2:12" x14ac:dyDescent="0.25">
      <c r="B20" s="30" t="str">
        <f>INDEX(Listas!$A$2:$A$13,MONTH(K20))&amp;" "&amp;YEAR(K20)</f>
        <v>Marzo 2026</v>
      </c>
      <c r="C20" s="40">
        <f>SUMIFS(Transacciones!$F:$F,Transacciones!$B:$B,"Ingreso",Transacciones!$A:$A,"&gt;="&amp;K20,Transacciones!$A:$A,"&lt;="&amp;L20)</f>
        <v>2450</v>
      </c>
      <c r="D20" s="40">
        <f>SUMIFS(Transacciones!$F:$F,Transacciones!$B:$B,"Gasto",Transacciones!$A:$A,"&gt;="&amp;K20,Transacciones!$A:$A,"&lt;="&amp;L20)</f>
        <v>1931</v>
      </c>
      <c r="E20" s="41">
        <f t="shared" ref="E20:E25" si="0">C20-D20</f>
        <v>519</v>
      </c>
      <c r="K20" s="42">
        <f>EDATE($J$5,-5)</f>
        <v>46082</v>
      </c>
      <c r="L20" s="42">
        <f t="shared" ref="L20:L25" si="1">EOMONTH(K20,0)</f>
        <v>46112</v>
      </c>
    </row>
    <row r="21" spans="2:12" x14ac:dyDescent="0.25">
      <c r="B21" s="25" t="str">
        <f>INDEX(Listas!$A$2:$A$13,MONTH(K21))&amp;" "&amp;YEAR(K21)</f>
        <v>Abril 2026</v>
      </c>
      <c r="C21" s="43">
        <f>SUMIFS(Transacciones!$F:$F,Transacciones!$B:$B,"Ingreso",Transacciones!$A:$A,"&gt;="&amp;K21,Transacciones!$A:$A,"&lt;="&amp;L21)</f>
        <v>2760</v>
      </c>
      <c r="D21" s="43">
        <f>SUMIFS(Transacciones!$F:$F,Transacciones!$B:$B,"Gasto",Transacciones!$A:$A,"&gt;="&amp;K21,Transacciones!$A:$A,"&lt;="&amp;L21)</f>
        <v>2030</v>
      </c>
      <c r="E21" s="44">
        <f t="shared" si="0"/>
        <v>730</v>
      </c>
      <c r="K21" s="42">
        <f>EDATE($J$5,-4)</f>
        <v>46113</v>
      </c>
      <c r="L21" s="42">
        <f t="shared" si="1"/>
        <v>46142</v>
      </c>
    </row>
    <row r="22" spans="2:12" x14ac:dyDescent="0.25">
      <c r="B22" s="30" t="str">
        <f>INDEX(Listas!$A$2:$A$13,MONTH(K22))&amp;" "&amp;YEAR(K22)</f>
        <v>Mayo 2026</v>
      </c>
      <c r="C22" s="40">
        <f>SUMIFS(Transacciones!$F:$F,Transacciones!$B:$B,"Ingreso",Transacciones!$A:$A,"&gt;="&amp;K22,Transacciones!$A:$A,"&lt;="&amp;L22)</f>
        <v>2620</v>
      </c>
      <c r="D22" s="40">
        <f>SUMIFS(Transacciones!$F:$F,Transacciones!$B:$B,"Gasto",Transacciones!$A:$A,"&gt;="&amp;K22,Transacciones!$A:$A,"&lt;="&amp;L22)</f>
        <v>2032</v>
      </c>
      <c r="E22" s="41">
        <f t="shared" si="0"/>
        <v>588</v>
      </c>
      <c r="K22" s="42">
        <f>EDATE($J$5,-3)</f>
        <v>46143</v>
      </c>
      <c r="L22" s="42">
        <f t="shared" si="1"/>
        <v>46173</v>
      </c>
    </row>
    <row r="23" spans="2:12" x14ac:dyDescent="0.25">
      <c r="B23" s="25" t="str">
        <f>INDEX(Listas!$A$2:$A$13,MONTH(K23))&amp;" "&amp;YEAR(K23)</f>
        <v>Junio 2026</v>
      </c>
      <c r="C23" s="43">
        <f>SUMIFS(Transacciones!$F:$F,Transacciones!$B:$B,"Ingreso",Transacciones!$A:$A,"&gt;="&amp;K23,Transacciones!$A:$A,"&lt;="&amp;L23)</f>
        <v>2500</v>
      </c>
      <c r="D23" s="43">
        <f>SUMIFS(Transacciones!$F:$F,Transacciones!$B:$B,"Gasto",Transacciones!$A:$A,"&gt;="&amp;K23,Transacciones!$A:$A,"&lt;="&amp;L23)</f>
        <v>2062</v>
      </c>
      <c r="E23" s="44">
        <f t="shared" si="0"/>
        <v>438</v>
      </c>
      <c r="K23" s="42">
        <f>EDATE($J$5,-2)</f>
        <v>46174</v>
      </c>
      <c r="L23" s="42">
        <f t="shared" si="1"/>
        <v>46203</v>
      </c>
    </row>
    <row r="24" spans="2:12" x14ac:dyDescent="0.25">
      <c r="B24" s="30" t="str">
        <f>INDEX(Listas!$A$2:$A$13,MONTH(K24))&amp;" "&amp;YEAR(K24)</f>
        <v>Julio 2026</v>
      </c>
      <c r="C24" s="40">
        <f>SUMIFS(Transacciones!$F:$F,Transacciones!$B:$B,"Ingreso",Transacciones!$A:$A,"&gt;="&amp;K24,Transacciones!$A:$A,"&lt;="&amp;L24)</f>
        <v>2700</v>
      </c>
      <c r="D24" s="40">
        <f>SUMIFS(Transacciones!$F:$F,Transacciones!$B:$B,"Gasto",Transacciones!$A:$A,"&gt;="&amp;K24,Transacciones!$A:$A,"&lt;="&amp;L24)</f>
        <v>2118</v>
      </c>
      <c r="E24" s="41">
        <f t="shared" si="0"/>
        <v>582</v>
      </c>
      <c r="K24" s="42">
        <f>EDATE($J$5,-1)</f>
        <v>46204</v>
      </c>
      <c r="L24" s="42">
        <f t="shared" si="1"/>
        <v>46234</v>
      </c>
    </row>
    <row r="25" spans="2:12" x14ac:dyDescent="0.25">
      <c r="B25" s="25" t="str">
        <f>INDEX(Listas!$A$2:$A$13,MONTH(K25))&amp;" "&amp;YEAR(K25)</f>
        <v>Agosto 2026</v>
      </c>
      <c r="C25" s="43">
        <f>SUMIFS(Transacciones!$F:$F,Transacciones!$B:$B,"Ingreso",Transacciones!$A:$A,"&gt;="&amp;K25,Transacciones!$A:$A,"&lt;="&amp;L25)</f>
        <v>2480</v>
      </c>
      <c r="D25" s="43">
        <f>SUMIFS(Transacciones!$F:$F,Transacciones!$B:$B,"Gasto",Transacciones!$A:$A,"&gt;="&amp;K25,Transacciones!$A:$A,"&lt;="&amp;L25)</f>
        <v>2151</v>
      </c>
      <c r="E25" s="44">
        <f t="shared" si="0"/>
        <v>329</v>
      </c>
      <c r="K25" s="42">
        <f>EDATE($J$5,0)</f>
        <v>46235</v>
      </c>
      <c r="L25" s="42">
        <f t="shared" si="1"/>
        <v>46265</v>
      </c>
    </row>
  </sheetData>
  <mergeCells count="15">
    <mergeCell ref="B18:E18"/>
    <mergeCell ref="B9:C9"/>
    <mergeCell ref="D9:E9"/>
    <mergeCell ref="F9:G9"/>
    <mergeCell ref="H9:I9"/>
    <mergeCell ref="B12:C12"/>
    <mergeCell ref="E12:F12"/>
    <mergeCell ref="H12:I12"/>
    <mergeCell ref="A1:K1"/>
    <mergeCell ref="A2:K2"/>
    <mergeCell ref="C4:D4"/>
    <mergeCell ref="B8:C8"/>
    <mergeCell ref="D8:E8"/>
    <mergeCell ref="F8:G8"/>
    <mergeCell ref="H8:I8"/>
  </mergeCells>
  <conditionalFormatting sqref="F9:G9">
    <cfRule type="cellIs" dxfId="4" priority="2" operator="greaterThanOrEqual">
      <formula>0</formula>
    </cfRule>
    <cfRule type="cellIs" dxfId="3" priority="3" operator="lessThan">
      <formula>0</formula>
    </cfRule>
  </conditionalFormatting>
  <pageMargins left="0.4" right="0.4" top="0.5" bottom="0.5" header="0.511811023622047" footer="0.511811023622047"/>
  <pageSetup fitToHeight="0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Listas!$A$2:$A$13</xm:f>
          </x14:formula1>
          <x14:formula2>
            <xm:f>0</xm:f>
          </x14:formula2>
          <xm:sqref>C4:D4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BFBF"/>
  </sheetPr>
  <dimension ref="A1:M15"/>
  <sheetViews>
    <sheetView zoomScaleNormal="100" workbookViewId="0"/>
  </sheetViews>
  <sheetFormatPr baseColWidth="10" defaultColWidth="8.7109375" defaultRowHeight="15" x14ac:dyDescent="0.25"/>
  <cols>
    <col min="1" max="1" width="16" customWidth="1"/>
    <col min="2" max="2" width="10" customWidth="1"/>
    <col min="3" max="3" width="16" customWidth="1"/>
    <col min="4" max="5" width="22" customWidth="1"/>
    <col min="6" max="6" width="16" customWidth="1"/>
    <col min="7" max="8" width="3" customWidth="1"/>
    <col min="9" max="9" width="20" customWidth="1"/>
    <col min="10" max="10" width="14" customWidth="1"/>
    <col min="11" max="11" width="3" customWidth="1"/>
    <col min="12" max="12" width="20" customWidth="1"/>
    <col min="13" max="13" width="18" customWidth="1"/>
  </cols>
  <sheetData>
    <row r="1" spans="1:13" x14ac:dyDescent="0.25">
      <c r="A1" s="18" t="s">
        <v>21</v>
      </c>
      <c r="B1" s="18" t="s">
        <v>22</v>
      </c>
      <c r="C1" s="18" t="s">
        <v>23</v>
      </c>
      <c r="D1" s="18" t="s">
        <v>24</v>
      </c>
      <c r="E1" s="18" t="s">
        <v>25</v>
      </c>
      <c r="F1" s="18" t="s">
        <v>26</v>
      </c>
      <c r="I1" s="18" t="s">
        <v>27</v>
      </c>
      <c r="J1" s="18" t="s">
        <v>28</v>
      </c>
      <c r="L1" s="18" t="s">
        <v>29</v>
      </c>
      <c r="M1" s="18" t="s">
        <v>30</v>
      </c>
    </row>
    <row r="2" spans="1:13" x14ac:dyDescent="0.25">
      <c r="A2" s="19" t="s">
        <v>31</v>
      </c>
      <c r="B2" s="19" t="s">
        <v>32</v>
      </c>
      <c r="C2" s="19" t="s">
        <v>33</v>
      </c>
      <c r="D2" s="19" t="s">
        <v>34</v>
      </c>
      <c r="E2" s="19" t="s">
        <v>33</v>
      </c>
      <c r="F2" s="19" t="s">
        <v>35</v>
      </c>
      <c r="I2" s="19" t="s">
        <v>34</v>
      </c>
      <c r="J2" s="19" t="s">
        <v>36</v>
      </c>
      <c r="L2" s="19" t="s">
        <v>37</v>
      </c>
      <c r="M2" s="19" t="s">
        <v>38</v>
      </c>
    </row>
    <row r="3" spans="1:13" x14ac:dyDescent="0.25">
      <c r="A3" s="19" t="s">
        <v>39</v>
      </c>
      <c r="B3" s="19" t="s">
        <v>40</v>
      </c>
      <c r="C3" s="19" t="s">
        <v>41</v>
      </c>
      <c r="D3" s="19" t="s">
        <v>42</v>
      </c>
      <c r="E3" s="19" t="s">
        <v>41</v>
      </c>
      <c r="F3" s="19" t="s">
        <v>43</v>
      </c>
      <c r="I3" s="19" t="s">
        <v>42</v>
      </c>
      <c r="J3" s="19" t="s">
        <v>36</v>
      </c>
      <c r="L3" s="19" t="s">
        <v>44</v>
      </c>
      <c r="M3" s="19" t="s">
        <v>45</v>
      </c>
    </row>
    <row r="4" spans="1:13" x14ac:dyDescent="0.25">
      <c r="A4" s="19" t="s">
        <v>46</v>
      </c>
      <c r="C4" s="19" t="s">
        <v>47</v>
      </c>
      <c r="D4" s="19" t="s">
        <v>48</v>
      </c>
      <c r="E4" s="19" t="s">
        <v>47</v>
      </c>
      <c r="F4" s="19" t="s">
        <v>49</v>
      </c>
      <c r="I4" s="19" t="s">
        <v>48</v>
      </c>
      <c r="J4" s="19" t="s">
        <v>36</v>
      </c>
      <c r="L4" s="19" t="s">
        <v>34</v>
      </c>
      <c r="M4" s="19" t="s">
        <v>50</v>
      </c>
    </row>
    <row r="5" spans="1:13" x14ac:dyDescent="0.25">
      <c r="A5" s="19" t="s">
        <v>51</v>
      </c>
      <c r="D5" s="19" t="s">
        <v>52</v>
      </c>
      <c r="E5" s="19" t="s">
        <v>34</v>
      </c>
      <c r="F5" s="19" t="s">
        <v>53</v>
      </c>
      <c r="I5" s="19" t="s">
        <v>52</v>
      </c>
      <c r="J5" s="19" t="s">
        <v>36</v>
      </c>
      <c r="L5" s="19" t="s">
        <v>54</v>
      </c>
      <c r="M5" s="19" t="s">
        <v>55</v>
      </c>
    </row>
    <row r="6" spans="1:13" x14ac:dyDescent="0.25">
      <c r="A6" s="19" t="s">
        <v>56</v>
      </c>
      <c r="D6" s="19" t="s">
        <v>57</v>
      </c>
      <c r="E6" s="19" t="s">
        <v>42</v>
      </c>
      <c r="I6" s="19" t="s">
        <v>57</v>
      </c>
      <c r="J6" s="19" t="s">
        <v>58</v>
      </c>
      <c r="M6" s="19" t="s">
        <v>54</v>
      </c>
    </row>
    <row r="7" spans="1:13" x14ac:dyDescent="0.25">
      <c r="A7" s="19" t="s">
        <v>59</v>
      </c>
      <c r="D7" s="19" t="s">
        <v>60</v>
      </c>
      <c r="E7" s="19" t="s">
        <v>48</v>
      </c>
      <c r="I7" s="19" t="s">
        <v>60</v>
      </c>
      <c r="J7" s="19" t="s">
        <v>58</v>
      </c>
    </row>
    <row r="8" spans="1:13" x14ac:dyDescent="0.25">
      <c r="A8" s="19" t="s">
        <v>61</v>
      </c>
      <c r="D8" s="19" t="s">
        <v>62</v>
      </c>
      <c r="E8" s="19" t="s">
        <v>52</v>
      </c>
      <c r="I8" s="19" t="s">
        <v>62</v>
      </c>
      <c r="J8" s="19" t="s">
        <v>58</v>
      </c>
    </row>
    <row r="9" spans="1:13" x14ac:dyDescent="0.25">
      <c r="A9" s="19" t="s">
        <v>63</v>
      </c>
      <c r="D9" s="19" t="s">
        <v>64</v>
      </c>
      <c r="E9" s="19" t="s">
        <v>57</v>
      </c>
      <c r="I9" s="19" t="s">
        <v>64</v>
      </c>
      <c r="J9" s="19" t="s">
        <v>58</v>
      </c>
    </row>
    <row r="10" spans="1:13" x14ac:dyDescent="0.25">
      <c r="A10" s="19" t="s">
        <v>65</v>
      </c>
      <c r="D10" s="19" t="s">
        <v>66</v>
      </c>
      <c r="E10" s="19" t="s">
        <v>60</v>
      </c>
      <c r="I10" s="19" t="s">
        <v>66</v>
      </c>
      <c r="J10" s="19" t="s">
        <v>67</v>
      </c>
    </row>
    <row r="11" spans="1:13" x14ac:dyDescent="0.25">
      <c r="A11" s="19" t="s">
        <v>68</v>
      </c>
      <c r="D11" s="19" t="s">
        <v>69</v>
      </c>
      <c r="E11" s="19" t="s">
        <v>62</v>
      </c>
      <c r="I11" s="19" t="s">
        <v>69</v>
      </c>
      <c r="J11" s="19" t="s">
        <v>67</v>
      </c>
    </row>
    <row r="12" spans="1:13" x14ac:dyDescent="0.25">
      <c r="A12" s="19" t="s">
        <v>70</v>
      </c>
      <c r="D12" s="19" t="s">
        <v>71</v>
      </c>
      <c r="E12" s="19" t="s">
        <v>64</v>
      </c>
      <c r="I12" s="19" t="s">
        <v>71</v>
      </c>
      <c r="J12" s="19" t="s">
        <v>58</v>
      </c>
    </row>
    <row r="13" spans="1:13" x14ac:dyDescent="0.25">
      <c r="A13" s="19" t="s">
        <v>72</v>
      </c>
      <c r="E13" s="19" t="s">
        <v>66</v>
      </c>
    </row>
    <row r="14" spans="1:13" x14ac:dyDescent="0.25">
      <c r="E14" s="19" t="s">
        <v>69</v>
      </c>
    </row>
    <row r="15" spans="1:13" x14ac:dyDescent="0.25">
      <c r="E15" s="19" t="s">
        <v>71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7B"/>
    <pageSetUpPr fitToPage="1"/>
  </sheetPr>
  <dimension ref="A1:AC114"/>
  <sheetViews>
    <sheetView zoomScaleNormal="100" workbookViewId="0">
      <pane ySplit="4" topLeftCell="A5" activePane="bottomLeft" state="frozen"/>
      <selection pane="bottomLeft" sqref="A1:G1"/>
    </sheetView>
  </sheetViews>
  <sheetFormatPr baseColWidth="10" defaultColWidth="8.7109375" defaultRowHeight="15" x14ac:dyDescent="0.25"/>
  <cols>
    <col min="1" max="1" width="12" customWidth="1"/>
    <col min="2" max="2" width="10" customWidth="1"/>
    <col min="3" max="3" width="22" customWidth="1"/>
    <col min="4" max="4" width="34" customWidth="1"/>
    <col min="5" max="5" width="16" customWidth="1"/>
    <col min="6" max="6" width="13" customWidth="1"/>
    <col min="7" max="7" width="12" customWidth="1"/>
  </cols>
  <sheetData>
    <row r="1" spans="1:29" ht="25.5" customHeight="1" x14ac:dyDescent="0.25">
      <c r="A1" s="5" t="s">
        <v>73</v>
      </c>
      <c r="B1" s="5"/>
      <c r="C1" s="5"/>
      <c r="D1" s="5"/>
      <c r="E1" s="5"/>
      <c r="F1" s="5"/>
      <c r="G1" s="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15" customHeight="1" x14ac:dyDescent="0.25">
      <c r="A2" s="13" t="s">
        <v>74</v>
      </c>
      <c r="B2" s="13"/>
      <c r="C2" s="13"/>
      <c r="D2" s="13"/>
      <c r="E2" s="13"/>
      <c r="F2" s="13"/>
      <c r="G2" s="13"/>
    </row>
    <row r="4" spans="1:29" ht="25.5" customHeight="1" x14ac:dyDescent="0.25">
      <c r="A4" s="20" t="s">
        <v>75</v>
      </c>
      <c r="B4" s="20" t="s">
        <v>22</v>
      </c>
      <c r="C4" s="20" t="s">
        <v>76</v>
      </c>
      <c r="D4" s="20" t="s">
        <v>77</v>
      </c>
      <c r="E4" s="20" t="s">
        <v>78</v>
      </c>
      <c r="F4" s="20" t="s">
        <v>79</v>
      </c>
      <c r="G4" s="20" t="s">
        <v>21</v>
      </c>
    </row>
    <row r="5" spans="1:29" x14ac:dyDescent="0.25">
      <c r="A5" s="21">
        <v>46082</v>
      </c>
      <c r="B5" s="22" t="s">
        <v>32</v>
      </c>
      <c r="C5" s="22" t="s">
        <v>33</v>
      </c>
      <c r="D5" s="23" t="s">
        <v>80</v>
      </c>
      <c r="E5" s="22" t="s">
        <v>53</v>
      </c>
      <c r="F5" s="24">
        <v>2100</v>
      </c>
      <c r="G5" s="25" t="str">
        <f>INDEX(Listas!$A$2:$A$13,MONTH(A5))&amp;" "&amp;YEAR(A5)</f>
        <v>Marzo 2026</v>
      </c>
    </row>
    <row r="6" spans="1:29" x14ac:dyDescent="0.25">
      <c r="A6" s="26">
        <v>46084</v>
      </c>
      <c r="B6" s="27" t="s">
        <v>40</v>
      </c>
      <c r="C6" s="27" t="s">
        <v>34</v>
      </c>
      <c r="D6" s="28" t="s">
        <v>81</v>
      </c>
      <c r="E6" s="27" t="s">
        <v>53</v>
      </c>
      <c r="F6" s="29">
        <v>650</v>
      </c>
      <c r="G6" s="30" t="str">
        <f>INDEX(Listas!$A$2:$A$13,MONTH(A6))&amp;" "&amp;YEAR(A6)</f>
        <v>Marzo 2026</v>
      </c>
    </row>
    <row r="7" spans="1:29" x14ac:dyDescent="0.25">
      <c r="A7" s="21">
        <v>46086</v>
      </c>
      <c r="B7" s="22" t="s">
        <v>40</v>
      </c>
      <c r="C7" s="22" t="s">
        <v>34</v>
      </c>
      <c r="D7" s="23" t="s">
        <v>82</v>
      </c>
      <c r="E7" s="22" t="s">
        <v>53</v>
      </c>
      <c r="F7" s="24">
        <v>92</v>
      </c>
      <c r="G7" s="25" t="str">
        <f>INDEX(Listas!$A$2:$A$13,MONTH(A7))&amp;" "&amp;YEAR(A7)</f>
        <v>Marzo 2026</v>
      </c>
    </row>
    <row r="8" spans="1:29" x14ac:dyDescent="0.25">
      <c r="A8" s="26">
        <v>46087</v>
      </c>
      <c r="B8" s="27" t="s">
        <v>40</v>
      </c>
      <c r="C8" s="27" t="s">
        <v>42</v>
      </c>
      <c r="D8" s="28" t="s">
        <v>83</v>
      </c>
      <c r="E8" s="27" t="s">
        <v>43</v>
      </c>
      <c r="F8" s="29">
        <v>78</v>
      </c>
      <c r="G8" s="30" t="str">
        <f>INDEX(Listas!$A$2:$A$13,MONTH(A8))&amp;" "&amp;YEAR(A8)</f>
        <v>Marzo 2026</v>
      </c>
    </row>
    <row r="9" spans="1:29" x14ac:dyDescent="0.25">
      <c r="A9" s="21">
        <v>46093</v>
      </c>
      <c r="B9" s="22" t="s">
        <v>40</v>
      </c>
      <c r="C9" s="22" t="s">
        <v>42</v>
      </c>
      <c r="D9" s="23" t="s">
        <v>84</v>
      </c>
      <c r="E9" s="22" t="s">
        <v>43</v>
      </c>
      <c r="F9" s="24">
        <v>65</v>
      </c>
      <c r="G9" s="25" t="str">
        <f>INDEX(Listas!$A$2:$A$13,MONTH(A9))&amp;" "&amp;YEAR(A9)</f>
        <v>Marzo 2026</v>
      </c>
    </row>
    <row r="10" spans="1:29" x14ac:dyDescent="0.25">
      <c r="A10" s="26">
        <v>46095</v>
      </c>
      <c r="B10" s="27" t="s">
        <v>40</v>
      </c>
      <c r="C10" s="27" t="s">
        <v>48</v>
      </c>
      <c r="D10" s="28" t="s">
        <v>85</v>
      </c>
      <c r="E10" s="27" t="s">
        <v>43</v>
      </c>
      <c r="F10" s="29">
        <v>40</v>
      </c>
      <c r="G10" s="30" t="str">
        <f>INDEX(Listas!$A$2:$A$13,MONTH(A10))&amp;" "&amp;YEAR(A10)</f>
        <v>Marzo 2026</v>
      </c>
    </row>
    <row r="11" spans="1:29" x14ac:dyDescent="0.25">
      <c r="A11" s="21">
        <v>46096</v>
      </c>
      <c r="B11" s="22" t="s">
        <v>32</v>
      </c>
      <c r="C11" s="22" t="s">
        <v>41</v>
      </c>
      <c r="D11" s="23" t="s">
        <v>86</v>
      </c>
      <c r="E11" s="22" t="s">
        <v>53</v>
      </c>
      <c r="F11" s="24">
        <v>350</v>
      </c>
      <c r="G11" s="25" t="str">
        <f>INDEX(Listas!$A$2:$A$13,MONTH(A11))&amp;" "&amp;YEAR(A11)</f>
        <v>Marzo 2026</v>
      </c>
    </row>
    <row r="12" spans="1:29" x14ac:dyDescent="0.25">
      <c r="A12" s="26">
        <v>46097</v>
      </c>
      <c r="B12" s="27" t="s">
        <v>40</v>
      </c>
      <c r="C12" s="27" t="s">
        <v>52</v>
      </c>
      <c r="D12" s="28" t="s">
        <v>87</v>
      </c>
      <c r="E12" s="27" t="s">
        <v>53</v>
      </c>
      <c r="F12" s="29">
        <v>45</v>
      </c>
      <c r="G12" s="30" t="str">
        <f>INDEX(Listas!$A$2:$A$13,MONTH(A12))&amp;" "&amp;YEAR(A12)</f>
        <v>Marzo 2026</v>
      </c>
    </row>
    <row r="13" spans="1:29" x14ac:dyDescent="0.25">
      <c r="A13" s="21">
        <v>46099</v>
      </c>
      <c r="B13" s="22" t="s">
        <v>40</v>
      </c>
      <c r="C13" s="22" t="s">
        <v>57</v>
      </c>
      <c r="D13" s="23" t="s">
        <v>88</v>
      </c>
      <c r="E13" s="22" t="s">
        <v>49</v>
      </c>
      <c r="F13" s="24">
        <v>38</v>
      </c>
      <c r="G13" s="25" t="str">
        <f>INDEX(Listas!$A$2:$A$13,MONTH(A13))&amp;" "&amp;YEAR(A13)</f>
        <v>Marzo 2026</v>
      </c>
    </row>
    <row r="14" spans="1:29" x14ac:dyDescent="0.25">
      <c r="A14" s="26">
        <v>46101</v>
      </c>
      <c r="B14" s="27" t="s">
        <v>40</v>
      </c>
      <c r="C14" s="27" t="s">
        <v>64</v>
      </c>
      <c r="D14" s="28" t="s">
        <v>89</v>
      </c>
      <c r="E14" s="27" t="s">
        <v>49</v>
      </c>
      <c r="F14" s="29">
        <v>24</v>
      </c>
      <c r="G14" s="30" t="str">
        <f>INDEX(Listas!$A$2:$A$13,MONTH(A14))&amp;" "&amp;YEAR(A14)</f>
        <v>Marzo 2026</v>
      </c>
    </row>
    <row r="15" spans="1:29" x14ac:dyDescent="0.25">
      <c r="A15" s="21">
        <v>46102</v>
      </c>
      <c r="B15" s="22" t="s">
        <v>40</v>
      </c>
      <c r="C15" s="22" t="s">
        <v>64</v>
      </c>
      <c r="D15" s="23" t="s">
        <v>90</v>
      </c>
      <c r="E15" s="22" t="s">
        <v>53</v>
      </c>
      <c r="F15" s="24">
        <v>34</v>
      </c>
      <c r="G15" s="25" t="str">
        <f>INDEX(Listas!$A$2:$A$13,MONTH(A15))&amp;" "&amp;YEAR(A15)</f>
        <v>Marzo 2026</v>
      </c>
    </row>
    <row r="16" spans="1:29" x14ac:dyDescent="0.25">
      <c r="A16" s="26">
        <v>46103</v>
      </c>
      <c r="B16" s="27" t="s">
        <v>40</v>
      </c>
      <c r="C16" s="27" t="s">
        <v>69</v>
      </c>
      <c r="D16" s="28" t="s">
        <v>91</v>
      </c>
      <c r="E16" s="27" t="s">
        <v>53</v>
      </c>
      <c r="F16" s="29">
        <v>150</v>
      </c>
      <c r="G16" s="30" t="str">
        <f>INDEX(Listas!$A$2:$A$13,MONTH(A16))&amp;" "&amp;YEAR(A16)</f>
        <v>Marzo 2026</v>
      </c>
    </row>
    <row r="17" spans="1:7" x14ac:dyDescent="0.25">
      <c r="A17" s="21">
        <v>46103</v>
      </c>
      <c r="B17" s="22" t="s">
        <v>40</v>
      </c>
      <c r="C17" s="22" t="s">
        <v>69</v>
      </c>
      <c r="D17" s="23" t="s">
        <v>92</v>
      </c>
      <c r="E17" s="22" t="s">
        <v>53</v>
      </c>
      <c r="F17" s="24">
        <v>220</v>
      </c>
      <c r="G17" s="25" t="str">
        <f>INDEX(Listas!$A$2:$A$13,MONTH(A17))&amp;" "&amp;YEAR(A17)</f>
        <v>Marzo 2026</v>
      </c>
    </row>
    <row r="18" spans="1:7" x14ac:dyDescent="0.25">
      <c r="A18" s="26">
        <v>46103</v>
      </c>
      <c r="B18" s="27" t="s">
        <v>40</v>
      </c>
      <c r="C18" s="27" t="s">
        <v>69</v>
      </c>
      <c r="D18" s="28" t="s">
        <v>93</v>
      </c>
      <c r="E18" s="27" t="s">
        <v>53</v>
      </c>
      <c r="F18" s="29">
        <v>100</v>
      </c>
      <c r="G18" s="30" t="str">
        <f>INDEX(Listas!$A$2:$A$13,MONTH(A18))&amp;" "&amp;YEAR(A18)</f>
        <v>Marzo 2026</v>
      </c>
    </row>
    <row r="19" spans="1:7" x14ac:dyDescent="0.25">
      <c r="A19" s="21">
        <v>46106</v>
      </c>
      <c r="B19" s="22" t="s">
        <v>40</v>
      </c>
      <c r="C19" s="22" t="s">
        <v>66</v>
      </c>
      <c r="D19" s="23" t="s">
        <v>94</v>
      </c>
      <c r="E19" s="22" t="s">
        <v>53</v>
      </c>
      <c r="F19" s="24">
        <v>300</v>
      </c>
      <c r="G19" s="25" t="str">
        <f>INDEX(Listas!$A$2:$A$13,MONTH(A19))&amp;" "&amp;YEAR(A19)</f>
        <v>Marzo 2026</v>
      </c>
    </row>
    <row r="20" spans="1:7" x14ac:dyDescent="0.25">
      <c r="A20" s="26">
        <v>46108</v>
      </c>
      <c r="B20" s="27" t="s">
        <v>40</v>
      </c>
      <c r="C20" s="27" t="s">
        <v>42</v>
      </c>
      <c r="D20" s="28" t="s">
        <v>83</v>
      </c>
      <c r="E20" s="27" t="s">
        <v>43</v>
      </c>
      <c r="F20" s="29">
        <v>70</v>
      </c>
      <c r="G20" s="30" t="str">
        <f>INDEX(Listas!$A$2:$A$13,MONTH(A20))&amp;" "&amp;YEAR(A20)</f>
        <v>Marzo 2026</v>
      </c>
    </row>
    <row r="21" spans="1:7" x14ac:dyDescent="0.25">
      <c r="A21" s="21">
        <v>46109</v>
      </c>
      <c r="B21" s="22" t="s">
        <v>40</v>
      </c>
      <c r="C21" s="22" t="s">
        <v>71</v>
      </c>
      <c r="D21" s="23" t="s">
        <v>95</v>
      </c>
      <c r="E21" s="22" t="s">
        <v>35</v>
      </c>
      <c r="F21" s="24">
        <v>25</v>
      </c>
      <c r="G21" s="25" t="str">
        <f>INDEX(Listas!$A$2:$A$13,MONTH(A21))&amp;" "&amp;YEAR(A21)</f>
        <v>Marzo 2026</v>
      </c>
    </row>
    <row r="22" spans="1:7" x14ac:dyDescent="0.25">
      <c r="A22" s="26">
        <v>46113</v>
      </c>
      <c r="B22" s="27" t="s">
        <v>32</v>
      </c>
      <c r="C22" s="27" t="s">
        <v>33</v>
      </c>
      <c r="D22" s="28" t="s">
        <v>80</v>
      </c>
      <c r="E22" s="27" t="s">
        <v>53</v>
      </c>
      <c r="F22" s="29">
        <v>2100</v>
      </c>
      <c r="G22" s="30" t="str">
        <f>INDEX(Listas!$A$2:$A$13,MONTH(A22))&amp;" "&amp;YEAR(A22)</f>
        <v>Abril 2026</v>
      </c>
    </row>
    <row r="23" spans="1:7" x14ac:dyDescent="0.25">
      <c r="A23" s="21">
        <v>46115</v>
      </c>
      <c r="B23" s="22" t="s">
        <v>40</v>
      </c>
      <c r="C23" s="22" t="s">
        <v>34</v>
      </c>
      <c r="D23" s="23" t="s">
        <v>81</v>
      </c>
      <c r="E23" s="22" t="s">
        <v>53</v>
      </c>
      <c r="F23" s="24">
        <v>650</v>
      </c>
      <c r="G23" s="25" t="str">
        <f>INDEX(Listas!$A$2:$A$13,MONTH(A23))&amp;" "&amp;YEAR(A23)</f>
        <v>Abril 2026</v>
      </c>
    </row>
    <row r="24" spans="1:7" x14ac:dyDescent="0.25">
      <c r="A24" s="26">
        <v>46117</v>
      </c>
      <c r="B24" s="27" t="s">
        <v>40</v>
      </c>
      <c r="C24" s="27" t="s">
        <v>34</v>
      </c>
      <c r="D24" s="28" t="s">
        <v>82</v>
      </c>
      <c r="E24" s="27" t="s">
        <v>53</v>
      </c>
      <c r="F24" s="29">
        <v>88</v>
      </c>
      <c r="G24" s="30" t="str">
        <f>INDEX(Listas!$A$2:$A$13,MONTH(A24))&amp;" "&amp;YEAR(A24)</f>
        <v>Abril 2026</v>
      </c>
    </row>
    <row r="25" spans="1:7" x14ac:dyDescent="0.25">
      <c r="A25" s="21">
        <v>46119</v>
      </c>
      <c r="B25" s="22" t="s">
        <v>40</v>
      </c>
      <c r="C25" s="22" t="s">
        <v>42</v>
      </c>
      <c r="D25" s="23" t="s">
        <v>83</v>
      </c>
      <c r="E25" s="22" t="s">
        <v>43</v>
      </c>
      <c r="F25" s="24">
        <v>82</v>
      </c>
      <c r="G25" s="25" t="str">
        <f>INDEX(Listas!$A$2:$A$13,MONTH(A25))&amp;" "&amp;YEAR(A25)</f>
        <v>Abril 2026</v>
      </c>
    </row>
    <row r="26" spans="1:7" x14ac:dyDescent="0.25">
      <c r="A26" s="26">
        <v>46122</v>
      </c>
      <c r="B26" s="27" t="s">
        <v>40</v>
      </c>
      <c r="C26" s="27" t="s">
        <v>48</v>
      </c>
      <c r="D26" s="28" t="s">
        <v>85</v>
      </c>
      <c r="E26" s="27" t="s">
        <v>43</v>
      </c>
      <c r="F26" s="29">
        <v>40</v>
      </c>
      <c r="G26" s="30" t="str">
        <f>INDEX(Listas!$A$2:$A$13,MONTH(A26))&amp;" "&amp;YEAR(A26)</f>
        <v>Abril 2026</v>
      </c>
    </row>
    <row r="27" spans="1:7" x14ac:dyDescent="0.25">
      <c r="A27" s="21">
        <v>46123</v>
      </c>
      <c r="B27" s="22" t="s">
        <v>40</v>
      </c>
      <c r="C27" s="22" t="s">
        <v>48</v>
      </c>
      <c r="D27" s="23" t="s">
        <v>96</v>
      </c>
      <c r="E27" s="22" t="s">
        <v>43</v>
      </c>
      <c r="F27" s="24">
        <v>55</v>
      </c>
      <c r="G27" s="25" t="str">
        <f>INDEX(Listas!$A$2:$A$13,MONTH(A27))&amp;" "&amp;YEAR(A27)</f>
        <v>Abril 2026</v>
      </c>
    </row>
    <row r="28" spans="1:7" x14ac:dyDescent="0.25">
      <c r="A28" s="26">
        <v>46125</v>
      </c>
      <c r="B28" s="27" t="s">
        <v>40</v>
      </c>
      <c r="C28" s="27" t="s">
        <v>42</v>
      </c>
      <c r="D28" s="28" t="s">
        <v>84</v>
      </c>
      <c r="E28" s="27" t="s">
        <v>43</v>
      </c>
      <c r="F28" s="29">
        <v>60</v>
      </c>
      <c r="G28" s="30" t="str">
        <f>INDEX(Listas!$A$2:$A$13,MONTH(A28))&amp;" "&amp;YEAR(A28)</f>
        <v>Abril 2026</v>
      </c>
    </row>
    <row r="29" spans="1:7" x14ac:dyDescent="0.25">
      <c r="A29" s="21">
        <v>46127</v>
      </c>
      <c r="B29" s="22" t="s">
        <v>40</v>
      </c>
      <c r="C29" s="22" t="s">
        <v>52</v>
      </c>
      <c r="D29" s="23" t="s">
        <v>87</v>
      </c>
      <c r="E29" s="22" t="s">
        <v>53</v>
      </c>
      <c r="F29" s="24">
        <v>45</v>
      </c>
      <c r="G29" s="25" t="str">
        <f>INDEX(Listas!$A$2:$A$13,MONTH(A29))&amp;" "&amp;YEAR(A29)</f>
        <v>Abril 2026</v>
      </c>
    </row>
    <row r="30" spans="1:7" x14ac:dyDescent="0.25">
      <c r="A30" s="26">
        <v>46128</v>
      </c>
      <c r="B30" s="27" t="s">
        <v>40</v>
      </c>
      <c r="C30" s="27" t="s">
        <v>52</v>
      </c>
      <c r="D30" s="28" t="s">
        <v>97</v>
      </c>
      <c r="E30" s="27" t="s">
        <v>35</v>
      </c>
      <c r="F30" s="29">
        <v>18</v>
      </c>
      <c r="G30" s="30" t="str">
        <f>INDEX(Listas!$A$2:$A$13,MONTH(A30))&amp;" "&amp;YEAR(A30)</f>
        <v>Abril 2026</v>
      </c>
    </row>
    <row r="31" spans="1:7" x14ac:dyDescent="0.25">
      <c r="A31" s="21">
        <v>46130</v>
      </c>
      <c r="B31" s="22" t="s">
        <v>32</v>
      </c>
      <c r="C31" s="22" t="s">
        <v>41</v>
      </c>
      <c r="D31" s="23" t="s">
        <v>98</v>
      </c>
      <c r="E31" s="22" t="s">
        <v>53</v>
      </c>
      <c r="F31" s="24">
        <v>480</v>
      </c>
      <c r="G31" s="25" t="str">
        <f>INDEX(Listas!$A$2:$A$13,MONTH(A31))&amp;" "&amp;YEAR(A31)</f>
        <v>Abril 2026</v>
      </c>
    </row>
    <row r="32" spans="1:7" x14ac:dyDescent="0.25">
      <c r="A32" s="26">
        <v>46131</v>
      </c>
      <c r="B32" s="27" t="s">
        <v>40</v>
      </c>
      <c r="C32" s="27" t="s">
        <v>60</v>
      </c>
      <c r="D32" s="28" t="s">
        <v>99</v>
      </c>
      <c r="E32" s="27" t="s">
        <v>49</v>
      </c>
      <c r="F32" s="29">
        <v>68</v>
      </c>
      <c r="G32" s="30" t="str">
        <f>INDEX(Listas!$A$2:$A$13,MONTH(A32))&amp;" "&amp;YEAR(A32)</f>
        <v>Abril 2026</v>
      </c>
    </row>
    <row r="33" spans="1:7" x14ac:dyDescent="0.25">
      <c r="A33" s="21">
        <v>46132</v>
      </c>
      <c r="B33" s="22" t="s">
        <v>40</v>
      </c>
      <c r="C33" s="22" t="s">
        <v>57</v>
      </c>
      <c r="D33" s="23" t="s">
        <v>100</v>
      </c>
      <c r="E33" s="22" t="s">
        <v>43</v>
      </c>
      <c r="F33" s="24">
        <v>22</v>
      </c>
      <c r="G33" s="25" t="str">
        <f>INDEX(Listas!$A$2:$A$13,MONTH(A33))&amp;" "&amp;YEAR(A33)</f>
        <v>Abril 2026</v>
      </c>
    </row>
    <row r="34" spans="1:7" x14ac:dyDescent="0.25">
      <c r="A34" s="26">
        <v>46133</v>
      </c>
      <c r="B34" s="27" t="s">
        <v>40</v>
      </c>
      <c r="C34" s="27" t="s">
        <v>64</v>
      </c>
      <c r="D34" s="28" t="s">
        <v>89</v>
      </c>
      <c r="E34" s="27" t="s">
        <v>49</v>
      </c>
      <c r="F34" s="29">
        <v>24</v>
      </c>
      <c r="G34" s="30" t="str">
        <f>INDEX(Listas!$A$2:$A$13,MONTH(A34))&amp;" "&amp;YEAR(A34)</f>
        <v>Abril 2026</v>
      </c>
    </row>
    <row r="35" spans="1:7" x14ac:dyDescent="0.25">
      <c r="A35" s="21">
        <v>46133</v>
      </c>
      <c r="B35" s="22" t="s">
        <v>40</v>
      </c>
      <c r="C35" s="22" t="s">
        <v>64</v>
      </c>
      <c r="D35" s="23" t="s">
        <v>90</v>
      </c>
      <c r="E35" s="22" t="s">
        <v>53</v>
      </c>
      <c r="F35" s="24">
        <v>34</v>
      </c>
      <c r="G35" s="25" t="str">
        <f>INDEX(Listas!$A$2:$A$13,MONTH(A35))&amp;" "&amp;YEAR(A35)</f>
        <v>Abril 2026</v>
      </c>
    </row>
    <row r="36" spans="1:7" x14ac:dyDescent="0.25">
      <c r="A36" s="26">
        <v>46134</v>
      </c>
      <c r="B36" s="27" t="s">
        <v>40</v>
      </c>
      <c r="C36" s="27" t="s">
        <v>69</v>
      </c>
      <c r="D36" s="28" t="s">
        <v>91</v>
      </c>
      <c r="E36" s="27" t="s">
        <v>53</v>
      </c>
      <c r="F36" s="29">
        <v>150</v>
      </c>
      <c r="G36" s="30" t="str">
        <f>INDEX(Listas!$A$2:$A$13,MONTH(A36))&amp;" "&amp;YEAR(A36)</f>
        <v>Abril 2026</v>
      </c>
    </row>
    <row r="37" spans="1:7" x14ac:dyDescent="0.25">
      <c r="A37" s="21">
        <v>46134</v>
      </c>
      <c r="B37" s="22" t="s">
        <v>40</v>
      </c>
      <c r="C37" s="22" t="s">
        <v>69</v>
      </c>
      <c r="D37" s="23" t="s">
        <v>92</v>
      </c>
      <c r="E37" s="22" t="s">
        <v>53</v>
      </c>
      <c r="F37" s="24">
        <v>220</v>
      </c>
      <c r="G37" s="25" t="str">
        <f>INDEX(Listas!$A$2:$A$13,MONTH(A37))&amp;" "&amp;YEAR(A37)</f>
        <v>Abril 2026</v>
      </c>
    </row>
    <row r="38" spans="1:7" x14ac:dyDescent="0.25">
      <c r="A38" s="26">
        <v>46134</v>
      </c>
      <c r="B38" s="27" t="s">
        <v>40</v>
      </c>
      <c r="C38" s="27" t="s">
        <v>69</v>
      </c>
      <c r="D38" s="28" t="s">
        <v>93</v>
      </c>
      <c r="E38" s="27" t="s">
        <v>53</v>
      </c>
      <c r="F38" s="29">
        <v>100</v>
      </c>
      <c r="G38" s="30" t="str">
        <f>INDEX(Listas!$A$2:$A$13,MONTH(A38))&amp;" "&amp;YEAR(A38)</f>
        <v>Abril 2026</v>
      </c>
    </row>
    <row r="39" spans="1:7" x14ac:dyDescent="0.25">
      <c r="A39" s="21">
        <v>46137</v>
      </c>
      <c r="B39" s="22" t="s">
        <v>40</v>
      </c>
      <c r="C39" s="22" t="s">
        <v>66</v>
      </c>
      <c r="D39" s="23" t="s">
        <v>94</v>
      </c>
      <c r="E39" s="22" t="s">
        <v>53</v>
      </c>
      <c r="F39" s="24">
        <v>300</v>
      </c>
      <c r="G39" s="25" t="str">
        <f>INDEX(Listas!$A$2:$A$13,MONTH(A39))&amp;" "&amp;YEAR(A39)</f>
        <v>Abril 2026</v>
      </c>
    </row>
    <row r="40" spans="1:7" x14ac:dyDescent="0.25">
      <c r="A40" s="26">
        <v>46139</v>
      </c>
      <c r="B40" s="27" t="s">
        <v>40</v>
      </c>
      <c r="C40" s="27" t="s">
        <v>42</v>
      </c>
      <c r="D40" s="28" t="s">
        <v>83</v>
      </c>
      <c r="E40" s="27" t="s">
        <v>43</v>
      </c>
      <c r="F40" s="29">
        <v>74</v>
      </c>
      <c r="G40" s="30" t="str">
        <f>INDEX(Listas!$A$2:$A$13,MONTH(A40))&amp;" "&amp;YEAR(A40)</f>
        <v>Abril 2026</v>
      </c>
    </row>
    <row r="41" spans="1:7" x14ac:dyDescent="0.25">
      <c r="A41" s="21">
        <v>46141</v>
      </c>
      <c r="B41" s="22" t="s">
        <v>32</v>
      </c>
      <c r="C41" s="22" t="s">
        <v>47</v>
      </c>
      <c r="D41" s="23" t="s">
        <v>101</v>
      </c>
      <c r="E41" s="22" t="s">
        <v>53</v>
      </c>
      <c r="F41" s="24">
        <v>180</v>
      </c>
      <c r="G41" s="25" t="str">
        <f>INDEX(Listas!$A$2:$A$13,MONTH(A41))&amp;" "&amp;YEAR(A41)</f>
        <v>Abril 2026</v>
      </c>
    </row>
    <row r="42" spans="1:7" x14ac:dyDescent="0.25">
      <c r="A42" s="26">
        <v>46143</v>
      </c>
      <c r="B42" s="27" t="s">
        <v>32</v>
      </c>
      <c r="C42" s="27" t="s">
        <v>33</v>
      </c>
      <c r="D42" s="28" t="s">
        <v>80</v>
      </c>
      <c r="E42" s="27" t="s">
        <v>53</v>
      </c>
      <c r="F42" s="29">
        <v>2100</v>
      </c>
      <c r="G42" s="30" t="str">
        <f>INDEX(Listas!$A$2:$A$13,MONTH(A42))&amp;" "&amp;YEAR(A42)</f>
        <v>Mayo 2026</v>
      </c>
    </row>
    <row r="43" spans="1:7" x14ac:dyDescent="0.25">
      <c r="A43" s="21">
        <v>46146</v>
      </c>
      <c r="B43" s="22" t="s">
        <v>40</v>
      </c>
      <c r="C43" s="22" t="s">
        <v>34</v>
      </c>
      <c r="D43" s="23" t="s">
        <v>81</v>
      </c>
      <c r="E43" s="22" t="s">
        <v>53</v>
      </c>
      <c r="F43" s="24">
        <v>650</v>
      </c>
      <c r="G43" s="25" t="str">
        <f>INDEX(Listas!$A$2:$A$13,MONTH(A43))&amp;" "&amp;YEAR(A43)</f>
        <v>Mayo 2026</v>
      </c>
    </row>
    <row r="44" spans="1:7" x14ac:dyDescent="0.25">
      <c r="A44" s="26">
        <v>46147</v>
      </c>
      <c r="B44" s="27" t="s">
        <v>40</v>
      </c>
      <c r="C44" s="27" t="s">
        <v>34</v>
      </c>
      <c r="D44" s="28" t="s">
        <v>82</v>
      </c>
      <c r="E44" s="27" t="s">
        <v>53</v>
      </c>
      <c r="F44" s="29">
        <v>95</v>
      </c>
      <c r="G44" s="30" t="str">
        <f>INDEX(Listas!$A$2:$A$13,MONTH(A44))&amp;" "&amp;YEAR(A44)</f>
        <v>Mayo 2026</v>
      </c>
    </row>
    <row r="45" spans="1:7" x14ac:dyDescent="0.25">
      <c r="A45" s="21">
        <v>46148</v>
      </c>
      <c r="B45" s="22" t="s">
        <v>40</v>
      </c>
      <c r="C45" s="22" t="s">
        <v>42</v>
      </c>
      <c r="D45" s="23" t="s">
        <v>83</v>
      </c>
      <c r="E45" s="22" t="s">
        <v>43</v>
      </c>
      <c r="F45" s="24">
        <v>80</v>
      </c>
      <c r="G45" s="25" t="str">
        <f>INDEX(Listas!$A$2:$A$13,MONTH(A45))&amp;" "&amp;YEAR(A45)</f>
        <v>Mayo 2026</v>
      </c>
    </row>
    <row r="46" spans="1:7" x14ac:dyDescent="0.25">
      <c r="A46" s="26">
        <v>46152</v>
      </c>
      <c r="B46" s="27" t="s">
        <v>40</v>
      </c>
      <c r="C46" s="27" t="s">
        <v>48</v>
      </c>
      <c r="D46" s="28" t="s">
        <v>85</v>
      </c>
      <c r="E46" s="27" t="s">
        <v>43</v>
      </c>
      <c r="F46" s="29">
        <v>40</v>
      </c>
      <c r="G46" s="30" t="str">
        <f>INDEX(Listas!$A$2:$A$13,MONTH(A46))&amp;" "&amp;YEAR(A46)</f>
        <v>Mayo 2026</v>
      </c>
    </row>
    <row r="47" spans="1:7" x14ac:dyDescent="0.25">
      <c r="A47" s="21">
        <v>46154</v>
      </c>
      <c r="B47" s="22" t="s">
        <v>40</v>
      </c>
      <c r="C47" s="22" t="s">
        <v>42</v>
      </c>
      <c r="D47" s="23" t="s">
        <v>84</v>
      </c>
      <c r="E47" s="22" t="s">
        <v>43</v>
      </c>
      <c r="F47" s="24">
        <v>68</v>
      </c>
      <c r="G47" s="25" t="str">
        <f>INDEX(Listas!$A$2:$A$13,MONTH(A47))&amp;" "&amp;YEAR(A47)</f>
        <v>Mayo 2026</v>
      </c>
    </row>
    <row r="48" spans="1:7" x14ac:dyDescent="0.25">
      <c r="A48" s="26">
        <v>46156</v>
      </c>
      <c r="B48" s="27" t="s">
        <v>40</v>
      </c>
      <c r="C48" s="27" t="s">
        <v>52</v>
      </c>
      <c r="D48" s="28" t="s">
        <v>87</v>
      </c>
      <c r="E48" s="27" t="s">
        <v>53</v>
      </c>
      <c r="F48" s="29">
        <v>45</v>
      </c>
      <c r="G48" s="30" t="str">
        <f>INDEX(Listas!$A$2:$A$13,MONTH(A48))&amp;" "&amp;YEAR(A48)</f>
        <v>Mayo 2026</v>
      </c>
    </row>
    <row r="49" spans="1:7" x14ac:dyDescent="0.25">
      <c r="A49" s="21">
        <v>46158</v>
      </c>
      <c r="B49" s="22" t="s">
        <v>40</v>
      </c>
      <c r="C49" s="22" t="s">
        <v>62</v>
      </c>
      <c r="D49" s="23" t="s">
        <v>102</v>
      </c>
      <c r="E49" s="22" t="s">
        <v>49</v>
      </c>
      <c r="F49" s="24">
        <v>39</v>
      </c>
      <c r="G49" s="25" t="str">
        <f>INDEX(Listas!$A$2:$A$13,MONTH(A49))&amp;" "&amp;YEAR(A49)</f>
        <v>Mayo 2026</v>
      </c>
    </row>
    <row r="50" spans="1:7" x14ac:dyDescent="0.25">
      <c r="A50" s="26">
        <v>46159</v>
      </c>
      <c r="B50" s="27" t="s">
        <v>32</v>
      </c>
      <c r="C50" s="27" t="s">
        <v>41</v>
      </c>
      <c r="D50" s="28" t="s">
        <v>103</v>
      </c>
      <c r="E50" s="27" t="s">
        <v>53</v>
      </c>
      <c r="F50" s="29">
        <v>520</v>
      </c>
      <c r="G50" s="30" t="str">
        <f>INDEX(Listas!$A$2:$A$13,MONTH(A50))&amp;" "&amp;YEAR(A50)</f>
        <v>Mayo 2026</v>
      </c>
    </row>
    <row r="51" spans="1:7" x14ac:dyDescent="0.25">
      <c r="A51" s="21">
        <v>46161</v>
      </c>
      <c r="B51" s="22" t="s">
        <v>40</v>
      </c>
      <c r="C51" s="22" t="s">
        <v>57</v>
      </c>
      <c r="D51" s="23" t="s">
        <v>104</v>
      </c>
      <c r="E51" s="22" t="s">
        <v>49</v>
      </c>
      <c r="F51" s="24">
        <v>95</v>
      </c>
      <c r="G51" s="25" t="str">
        <f>INDEX(Listas!$A$2:$A$13,MONTH(A51))&amp;" "&amp;YEAR(A51)</f>
        <v>Mayo 2026</v>
      </c>
    </row>
    <row r="52" spans="1:7" x14ac:dyDescent="0.25">
      <c r="A52" s="26">
        <v>46163</v>
      </c>
      <c r="B52" s="27" t="s">
        <v>40</v>
      </c>
      <c r="C52" s="27" t="s">
        <v>64</v>
      </c>
      <c r="D52" s="28" t="s">
        <v>89</v>
      </c>
      <c r="E52" s="27" t="s">
        <v>49</v>
      </c>
      <c r="F52" s="29">
        <v>24</v>
      </c>
      <c r="G52" s="30" t="str">
        <f>INDEX(Listas!$A$2:$A$13,MONTH(A52))&amp;" "&amp;YEAR(A52)</f>
        <v>Mayo 2026</v>
      </c>
    </row>
    <row r="53" spans="1:7" x14ac:dyDescent="0.25">
      <c r="A53" s="21">
        <v>46163</v>
      </c>
      <c r="B53" s="22" t="s">
        <v>40</v>
      </c>
      <c r="C53" s="22" t="s">
        <v>64</v>
      </c>
      <c r="D53" s="23" t="s">
        <v>90</v>
      </c>
      <c r="E53" s="22" t="s">
        <v>53</v>
      </c>
      <c r="F53" s="24">
        <v>34</v>
      </c>
      <c r="G53" s="25" t="str">
        <f>INDEX(Listas!$A$2:$A$13,MONTH(A53))&amp;" "&amp;YEAR(A53)</f>
        <v>Mayo 2026</v>
      </c>
    </row>
    <row r="54" spans="1:7" x14ac:dyDescent="0.25">
      <c r="A54" s="26">
        <v>46164</v>
      </c>
      <c r="B54" s="27" t="s">
        <v>40</v>
      </c>
      <c r="C54" s="27" t="s">
        <v>69</v>
      </c>
      <c r="D54" s="28" t="s">
        <v>91</v>
      </c>
      <c r="E54" s="27" t="s">
        <v>53</v>
      </c>
      <c r="F54" s="29">
        <v>150</v>
      </c>
      <c r="G54" s="30" t="str">
        <f>INDEX(Listas!$A$2:$A$13,MONTH(A54))&amp;" "&amp;YEAR(A54)</f>
        <v>Mayo 2026</v>
      </c>
    </row>
    <row r="55" spans="1:7" x14ac:dyDescent="0.25">
      <c r="A55" s="21">
        <v>46164</v>
      </c>
      <c r="B55" s="22" t="s">
        <v>40</v>
      </c>
      <c r="C55" s="22" t="s">
        <v>69</v>
      </c>
      <c r="D55" s="23" t="s">
        <v>92</v>
      </c>
      <c r="E55" s="22" t="s">
        <v>53</v>
      </c>
      <c r="F55" s="24">
        <v>220</v>
      </c>
      <c r="G55" s="25" t="str">
        <f>INDEX(Listas!$A$2:$A$13,MONTH(A55))&amp;" "&amp;YEAR(A55)</f>
        <v>Mayo 2026</v>
      </c>
    </row>
    <row r="56" spans="1:7" x14ac:dyDescent="0.25">
      <c r="A56" s="26">
        <v>46164</v>
      </c>
      <c r="B56" s="27" t="s">
        <v>40</v>
      </c>
      <c r="C56" s="27" t="s">
        <v>69</v>
      </c>
      <c r="D56" s="28" t="s">
        <v>93</v>
      </c>
      <c r="E56" s="27" t="s">
        <v>53</v>
      </c>
      <c r="F56" s="29">
        <v>100</v>
      </c>
      <c r="G56" s="30" t="str">
        <f>INDEX(Listas!$A$2:$A$13,MONTH(A56))&amp;" "&amp;YEAR(A56)</f>
        <v>Mayo 2026</v>
      </c>
    </row>
    <row r="57" spans="1:7" x14ac:dyDescent="0.25">
      <c r="A57" s="21">
        <v>46167</v>
      </c>
      <c r="B57" s="22" t="s">
        <v>40</v>
      </c>
      <c r="C57" s="22" t="s">
        <v>66</v>
      </c>
      <c r="D57" s="23" t="s">
        <v>94</v>
      </c>
      <c r="E57" s="22" t="s">
        <v>53</v>
      </c>
      <c r="F57" s="24">
        <v>300</v>
      </c>
      <c r="G57" s="25" t="str">
        <f>INDEX(Listas!$A$2:$A$13,MONTH(A57))&amp;" "&amp;YEAR(A57)</f>
        <v>Mayo 2026</v>
      </c>
    </row>
    <row r="58" spans="1:7" x14ac:dyDescent="0.25">
      <c r="A58" s="26">
        <v>46169</v>
      </c>
      <c r="B58" s="27" t="s">
        <v>40</v>
      </c>
      <c r="C58" s="27" t="s">
        <v>42</v>
      </c>
      <c r="D58" s="28" t="s">
        <v>83</v>
      </c>
      <c r="E58" s="27" t="s">
        <v>43</v>
      </c>
      <c r="F58" s="29">
        <v>72</v>
      </c>
      <c r="G58" s="30" t="str">
        <f>INDEX(Listas!$A$2:$A$13,MONTH(A58))&amp;" "&amp;YEAR(A58)</f>
        <v>Mayo 2026</v>
      </c>
    </row>
    <row r="59" spans="1:7" x14ac:dyDescent="0.25">
      <c r="A59" s="21">
        <v>46171</v>
      </c>
      <c r="B59" s="22" t="s">
        <v>40</v>
      </c>
      <c r="C59" s="22" t="s">
        <v>71</v>
      </c>
      <c r="D59" s="23" t="s">
        <v>105</v>
      </c>
      <c r="E59" s="22" t="s">
        <v>35</v>
      </c>
      <c r="F59" s="24">
        <v>20</v>
      </c>
      <c r="G59" s="25" t="str">
        <f>INDEX(Listas!$A$2:$A$13,MONTH(A59))&amp;" "&amp;YEAR(A59)</f>
        <v>Mayo 2026</v>
      </c>
    </row>
    <row r="60" spans="1:7" x14ac:dyDescent="0.25">
      <c r="A60" s="26">
        <v>46174</v>
      </c>
      <c r="B60" s="27" t="s">
        <v>32</v>
      </c>
      <c r="C60" s="27" t="s">
        <v>33</v>
      </c>
      <c r="D60" s="28" t="s">
        <v>80</v>
      </c>
      <c r="E60" s="27" t="s">
        <v>53</v>
      </c>
      <c r="F60" s="29">
        <v>2100</v>
      </c>
      <c r="G60" s="30" t="str">
        <f>INDEX(Listas!$A$2:$A$13,MONTH(A60))&amp;" "&amp;YEAR(A60)</f>
        <v>Junio 2026</v>
      </c>
    </row>
    <row r="61" spans="1:7" x14ac:dyDescent="0.25">
      <c r="A61" s="21">
        <v>46176</v>
      </c>
      <c r="B61" s="22" t="s">
        <v>40</v>
      </c>
      <c r="C61" s="22" t="s">
        <v>34</v>
      </c>
      <c r="D61" s="23" t="s">
        <v>81</v>
      </c>
      <c r="E61" s="22" t="s">
        <v>53</v>
      </c>
      <c r="F61" s="24">
        <v>650</v>
      </c>
      <c r="G61" s="25" t="str">
        <f>INDEX(Listas!$A$2:$A$13,MONTH(A61))&amp;" "&amp;YEAR(A61)</f>
        <v>Junio 2026</v>
      </c>
    </row>
    <row r="62" spans="1:7" x14ac:dyDescent="0.25">
      <c r="A62" s="26">
        <v>46178</v>
      </c>
      <c r="B62" s="27" t="s">
        <v>40</v>
      </c>
      <c r="C62" s="27" t="s">
        <v>34</v>
      </c>
      <c r="D62" s="28" t="s">
        <v>82</v>
      </c>
      <c r="E62" s="27" t="s">
        <v>53</v>
      </c>
      <c r="F62" s="29">
        <v>101</v>
      </c>
      <c r="G62" s="30" t="str">
        <f>INDEX(Listas!$A$2:$A$13,MONTH(A62))&amp;" "&amp;YEAR(A62)</f>
        <v>Junio 2026</v>
      </c>
    </row>
    <row r="63" spans="1:7" x14ac:dyDescent="0.25">
      <c r="A63" s="21">
        <v>46179</v>
      </c>
      <c r="B63" s="22" t="s">
        <v>40</v>
      </c>
      <c r="C63" s="22" t="s">
        <v>42</v>
      </c>
      <c r="D63" s="23" t="s">
        <v>83</v>
      </c>
      <c r="E63" s="22" t="s">
        <v>43</v>
      </c>
      <c r="F63" s="24">
        <v>85</v>
      </c>
      <c r="G63" s="25" t="str">
        <f>INDEX(Listas!$A$2:$A$13,MONTH(A63))&amp;" "&amp;YEAR(A63)</f>
        <v>Junio 2026</v>
      </c>
    </row>
    <row r="64" spans="1:7" x14ac:dyDescent="0.25">
      <c r="A64" s="26">
        <v>46183</v>
      </c>
      <c r="B64" s="27" t="s">
        <v>40</v>
      </c>
      <c r="C64" s="27" t="s">
        <v>48</v>
      </c>
      <c r="D64" s="28" t="s">
        <v>85</v>
      </c>
      <c r="E64" s="27" t="s">
        <v>43</v>
      </c>
      <c r="F64" s="29">
        <v>40</v>
      </c>
      <c r="G64" s="30" t="str">
        <f>INDEX(Listas!$A$2:$A$13,MONTH(A64))&amp;" "&amp;YEAR(A64)</f>
        <v>Junio 2026</v>
      </c>
    </row>
    <row r="65" spans="1:7" x14ac:dyDescent="0.25">
      <c r="A65" s="21">
        <v>46184</v>
      </c>
      <c r="B65" s="22" t="s">
        <v>40</v>
      </c>
      <c r="C65" s="22" t="s">
        <v>48</v>
      </c>
      <c r="D65" s="23" t="s">
        <v>96</v>
      </c>
      <c r="E65" s="22" t="s">
        <v>43</v>
      </c>
      <c r="F65" s="24">
        <v>58</v>
      </c>
      <c r="G65" s="25" t="str">
        <f>INDEX(Listas!$A$2:$A$13,MONTH(A65))&amp;" "&amp;YEAR(A65)</f>
        <v>Junio 2026</v>
      </c>
    </row>
    <row r="66" spans="1:7" x14ac:dyDescent="0.25">
      <c r="A66" s="26">
        <v>46186</v>
      </c>
      <c r="B66" s="27" t="s">
        <v>40</v>
      </c>
      <c r="C66" s="27" t="s">
        <v>42</v>
      </c>
      <c r="D66" s="28" t="s">
        <v>84</v>
      </c>
      <c r="E66" s="27" t="s">
        <v>43</v>
      </c>
      <c r="F66" s="29">
        <v>66</v>
      </c>
      <c r="G66" s="30" t="str">
        <f>INDEX(Listas!$A$2:$A$13,MONTH(A66))&amp;" "&amp;YEAR(A66)</f>
        <v>Junio 2026</v>
      </c>
    </row>
    <row r="67" spans="1:7" x14ac:dyDescent="0.25">
      <c r="A67" s="21">
        <v>46188</v>
      </c>
      <c r="B67" s="22" t="s">
        <v>40</v>
      </c>
      <c r="C67" s="22" t="s">
        <v>52</v>
      </c>
      <c r="D67" s="23" t="s">
        <v>87</v>
      </c>
      <c r="E67" s="22" t="s">
        <v>53</v>
      </c>
      <c r="F67" s="24">
        <v>45</v>
      </c>
      <c r="G67" s="25" t="str">
        <f>INDEX(Listas!$A$2:$A$13,MONTH(A67))&amp;" "&amp;YEAR(A67)</f>
        <v>Junio 2026</v>
      </c>
    </row>
    <row r="68" spans="1:7" x14ac:dyDescent="0.25">
      <c r="A68" s="26">
        <v>46191</v>
      </c>
      <c r="B68" s="27" t="s">
        <v>32</v>
      </c>
      <c r="C68" s="27" t="s">
        <v>41</v>
      </c>
      <c r="D68" s="28" t="s">
        <v>106</v>
      </c>
      <c r="E68" s="27" t="s">
        <v>53</v>
      </c>
      <c r="F68" s="29">
        <v>400</v>
      </c>
      <c r="G68" s="30" t="str">
        <f>INDEX(Listas!$A$2:$A$13,MONTH(A68))&amp;" "&amp;YEAR(A68)</f>
        <v>Junio 2026</v>
      </c>
    </row>
    <row r="69" spans="1:7" x14ac:dyDescent="0.25">
      <c r="A69" s="21">
        <v>46192</v>
      </c>
      <c r="B69" s="22" t="s">
        <v>40</v>
      </c>
      <c r="C69" s="22" t="s">
        <v>57</v>
      </c>
      <c r="D69" s="23" t="s">
        <v>107</v>
      </c>
      <c r="E69" s="22" t="s">
        <v>49</v>
      </c>
      <c r="F69" s="24">
        <v>45</v>
      </c>
      <c r="G69" s="25" t="str">
        <f>INDEX(Listas!$A$2:$A$13,MONTH(A69))&amp;" "&amp;YEAR(A69)</f>
        <v>Junio 2026</v>
      </c>
    </row>
    <row r="70" spans="1:7" x14ac:dyDescent="0.25">
      <c r="A70" s="26">
        <v>46193</v>
      </c>
      <c r="B70" s="27" t="s">
        <v>40</v>
      </c>
      <c r="C70" s="27" t="s">
        <v>60</v>
      </c>
      <c r="D70" s="28" t="s">
        <v>108</v>
      </c>
      <c r="E70" s="27" t="s">
        <v>49</v>
      </c>
      <c r="F70" s="29">
        <v>74</v>
      </c>
      <c r="G70" s="30" t="str">
        <f>INDEX(Listas!$A$2:$A$13,MONTH(A70))&amp;" "&amp;YEAR(A70)</f>
        <v>Junio 2026</v>
      </c>
    </row>
    <row r="71" spans="1:7" x14ac:dyDescent="0.25">
      <c r="A71" s="21">
        <v>46194</v>
      </c>
      <c r="B71" s="22" t="s">
        <v>40</v>
      </c>
      <c r="C71" s="22" t="s">
        <v>64</v>
      </c>
      <c r="D71" s="23" t="s">
        <v>89</v>
      </c>
      <c r="E71" s="22" t="s">
        <v>49</v>
      </c>
      <c r="F71" s="24">
        <v>24</v>
      </c>
      <c r="G71" s="25" t="str">
        <f>INDEX(Listas!$A$2:$A$13,MONTH(A71))&amp;" "&amp;YEAR(A71)</f>
        <v>Junio 2026</v>
      </c>
    </row>
    <row r="72" spans="1:7" x14ac:dyDescent="0.25">
      <c r="A72" s="26">
        <v>46194</v>
      </c>
      <c r="B72" s="27" t="s">
        <v>40</v>
      </c>
      <c r="C72" s="27" t="s">
        <v>64</v>
      </c>
      <c r="D72" s="28" t="s">
        <v>90</v>
      </c>
      <c r="E72" s="27" t="s">
        <v>53</v>
      </c>
      <c r="F72" s="29">
        <v>34</v>
      </c>
      <c r="G72" s="30" t="str">
        <f>INDEX(Listas!$A$2:$A$13,MONTH(A72))&amp;" "&amp;YEAR(A72)</f>
        <v>Junio 2026</v>
      </c>
    </row>
    <row r="73" spans="1:7" x14ac:dyDescent="0.25">
      <c r="A73" s="21">
        <v>46195</v>
      </c>
      <c r="B73" s="22" t="s">
        <v>40</v>
      </c>
      <c r="C73" s="22" t="s">
        <v>69</v>
      </c>
      <c r="D73" s="23" t="s">
        <v>91</v>
      </c>
      <c r="E73" s="22" t="s">
        <v>53</v>
      </c>
      <c r="F73" s="24">
        <v>150</v>
      </c>
      <c r="G73" s="25" t="str">
        <f>INDEX(Listas!$A$2:$A$13,MONTH(A73))&amp;" "&amp;YEAR(A73)</f>
        <v>Junio 2026</v>
      </c>
    </row>
    <row r="74" spans="1:7" x14ac:dyDescent="0.25">
      <c r="A74" s="26">
        <v>46195</v>
      </c>
      <c r="B74" s="27" t="s">
        <v>40</v>
      </c>
      <c r="C74" s="27" t="s">
        <v>69</v>
      </c>
      <c r="D74" s="28" t="s">
        <v>92</v>
      </c>
      <c r="E74" s="27" t="s">
        <v>53</v>
      </c>
      <c r="F74" s="29">
        <v>220</v>
      </c>
      <c r="G74" s="30" t="str">
        <f>INDEX(Listas!$A$2:$A$13,MONTH(A74))&amp;" "&amp;YEAR(A74)</f>
        <v>Junio 2026</v>
      </c>
    </row>
    <row r="75" spans="1:7" x14ac:dyDescent="0.25">
      <c r="A75" s="21">
        <v>46195</v>
      </c>
      <c r="B75" s="22" t="s">
        <v>40</v>
      </c>
      <c r="C75" s="22" t="s">
        <v>69</v>
      </c>
      <c r="D75" s="23" t="s">
        <v>93</v>
      </c>
      <c r="E75" s="22" t="s">
        <v>53</v>
      </c>
      <c r="F75" s="24">
        <v>100</v>
      </c>
      <c r="G75" s="25" t="str">
        <f>INDEX(Listas!$A$2:$A$13,MONTH(A75))&amp;" "&amp;YEAR(A75)</f>
        <v>Junio 2026</v>
      </c>
    </row>
    <row r="76" spans="1:7" x14ac:dyDescent="0.25">
      <c r="A76" s="26">
        <v>46198</v>
      </c>
      <c r="B76" s="27" t="s">
        <v>40</v>
      </c>
      <c r="C76" s="27" t="s">
        <v>66</v>
      </c>
      <c r="D76" s="28" t="s">
        <v>94</v>
      </c>
      <c r="E76" s="27" t="s">
        <v>53</v>
      </c>
      <c r="F76" s="29">
        <v>300</v>
      </c>
      <c r="G76" s="30" t="str">
        <f>INDEX(Listas!$A$2:$A$13,MONTH(A76))&amp;" "&amp;YEAR(A76)</f>
        <v>Junio 2026</v>
      </c>
    </row>
    <row r="77" spans="1:7" x14ac:dyDescent="0.25">
      <c r="A77" s="21">
        <v>46200</v>
      </c>
      <c r="B77" s="22" t="s">
        <v>40</v>
      </c>
      <c r="C77" s="22" t="s">
        <v>42</v>
      </c>
      <c r="D77" s="23" t="s">
        <v>83</v>
      </c>
      <c r="E77" s="22" t="s">
        <v>43</v>
      </c>
      <c r="F77" s="24">
        <v>70</v>
      </c>
      <c r="G77" s="25" t="str">
        <f>INDEX(Listas!$A$2:$A$13,MONTH(A77))&amp;" "&amp;YEAR(A77)</f>
        <v>Junio 2026</v>
      </c>
    </row>
    <row r="78" spans="1:7" x14ac:dyDescent="0.25">
      <c r="A78" s="26">
        <v>46204</v>
      </c>
      <c r="B78" s="27" t="s">
        <v>32</v>
      </c>
      <c r="C78" s="27" t="s">
        <v>33</v>
      </c>
      <c r="D78" s="28" t="s">
        <v>80</v>
      </c>
      <c r="E78" s="27" t="s">
        <v>53</v>
      </c>
      <c r="F78" s="29">
        <v>2100</v>
      </c>
      <c r="G78" s="30" t="str">
        <f>INDEX(Listas!$A$2:$A$13,MONTH(A78))&amp;" "&amp;YEAR(A78)</f>
        <v>Julio 2026</v>
      </c>
    </row>
    <row r="79" spans="1:7" x14ac:dyDescent="0.25">
      <c r="A79" s="21">
        <v>46206</v>
      </c>
      <c r="B79" s="22" t="s">
        <v>40</v>
      </c>
      <c r="C79" s="22" t="s">
        <v>34</v>
      </c>
      <c r="D79" s="23" t="s">
        <v>81</v>
      </c>
      <c r="E79" s="22" t="s">
        <v>53</v>
      </c>
      <c r="F79" s="24">
        <v>650</v>
      </c>
      <c r="G79" s="25" t="str">
        <f>INDEX(Listas!$A$2:$A$13,MONTH(A79))&amp;" "&amp;YEAR(A79)</f>
        <v>Julio 2026</v>
      </c>
    </row>
    <row r="80" spans="1:7" x14ac:dyDescent="0.25">
      <c r="A80" s="26">
        <v>46208</v>
      </c>
      <c r="B80" s="27" t="s">
        <v>40</v>
      </c>
      <c r="C80" s="27" t="s">
        <v>34</v>
      </c>
      <c r="D80" s="28" t="s">
        <v>82</v>
      </c>
      <c r="E80" s="27" t="s">
        <v>53</v>
      </c>
      <c r="F80" s="29">
        <v>110</v>
      </c>
      <c r="G80" s="30" t="str">
        <f>INDEX(Listas!$A$2:$A$13,MONTH(A80))&amp;" "&amp;YEAR(A80)</f>
        <v>Julio 2026</v>
      </c>
    </row>
    <row r="81" spans="1:7" x14ac:dyDescent="0.25">
      <c r="A81" s="21">
        <v>46209</v>
      </c>
      <c r="B81" s="22" t="s">
        <v>40</v>
      </c>
      <c r="C81" s="22" t="s">
        <v>42</v>
      </c>
      <c r="D81" s="23" t="s">
        <v>83</v>
      </c>
      <c r="E81" s="22" t="s">
        <v>43</v>
      </c>
      <c r="F81" s="24">
        <v>90</v>
      </c>
      <c r="G81" s="25" t="str">
        <f>INDEX(Listas!$A$2:$A$13,MONTH(A81))&amp;" "&amp;YEAR(A81)</f>
        <v>Julio 2026</v>
      </c>
    </row>
    <row r="82" spans="1:7" x14ac:dyDescent="0.25">
      <c r="A82" s="26">
        <v>46212</v>
      </c>
      <c r="B82" s="27" t="s">
        <v>40</v>
      </c>
      <c r="C82" s="27" t="s">
        <v>48</v>
      </c>
      <c r="D82" s="28" t="s">
        <v>85</v>
      </c>
      <c r="E82" s="27" t="s">
        <v>43</v>
      </c>
      <c r="F82" s="29">
        <v>40</v>
      </c>
      <c r="G82" s="30" t="str">
        <f>INDEX(Listas!$A$2:$A$13,MONTH(A82))&amp;" "&amp;YEAR(A82)</f>
        <v>Julio 2026</v>
      </c>
    </row>
    <row r="83" spans="1:7" x14ac:dyDescent="0.25">
      <c r="A83" s="21">
        <v>46215</v>
      </c>
      <c r="B83" s="22" t="s">
        <v>40</v>
      </c>
      <c r="C83" s="22" t="s">
        <v>42</v>
      </c>
      <c r="D83" s="23" t="s">
        <v>84</v>
      </c>
      <c r="E83" s="22" t="s">
        <v>43</v>
      </c>
      <c r="F83" s="24">
        <v>72</v>
      </c>
      <c r="G83" s="25" t="str">
        <f>INDEX(Listas!$A$2:$A$13,MONTH(A83))&amp;" "&amp;YEAR(A83)</f>
        <v>Julio 2026</v>
      </c>
    </row>
    <row r="84" spans="1:7" x14ac:dyDescent="0.25">
      <c r="A84" s="26">
        <v>46217</v>
      </c>
      <c r="B84" s="27" t="s">
        <v>40</v>
      </c>
      <c r="C84" s="27" t="s">
        <v>52</v>
      </c>
      <c r="D84" s="28" t="s">
        <v>87</v>
      </c>
      <c r="E84" s="27" t="s">
        <v>53</v>
      </c>
      <c r="F84" s="29">
        <v>45</v>
      </c>
      <c r="G84" s="30" t="str">
        <f>INDEX(Listas!$A$2:$A$13,MONTH(A84))&amp;" "&amp;YEAR(A84)</f>
        <v>Julio 2026</v>
      </c>
    </row>
    <row r="85" spans="1:7" x14ac:dyDescent="0.25">
      <c r="A85" s="21">
        <v>46218</v>
      </c>
      <c r="B85" s="22" t="s">
        <v>40</v>
      </c>
      <c r="C85" s="22" t="s">
        <v>52</v>
      </c>
      <c r="D85" s="23" t="s">
        <v>97</v>
      </c>
      <c r="E85" s="22" t="s">
        <v>35</v>
      </c>
      <c r="F85" s="24">
        <v>15</v>
      </c>
      <c r="G85" s="25" t="str">
        <f>INDEX(Listas!$A$2:$A$13,MONTH(A85))&amp;" "&amp;YEAR(A85)</f>
        <v>Julio 2026</v>
      </c>
    </row>
    <row r="86" spans="1:7" x14ac:dyDescent="0.25">
      <c r="A86" s="26">
        <v>46220</v>
      </c>
      <c r="B86" s="27" t="s">
        <v>32</v>
      </c>
      <c r="C86" s="27" t="s">
        <v>41</v>
      </c>
      <c r="D86" s="28" t="s">
        <v>109</v>
      </c>
      <c r="E86" s="27" t="s">
        <v>53</v>
      </c>
      <c r="F86" s="29">
        <v>600</v>
      </c>
      <c r="G86" s="30" t="str">
        <f>INDEX(Listas!$A$2:$A$13,MONTH(A86))&amp;" "&amp;YEAR(A86)</f>
        <v>Julio 2026</v>
      </c>
    </row>
    <row r="87" spans="1:7" x14ac:dyDescent="0.25">
      <c r="A87" s="21">
        <v>46221</v>
      </c>
      <c r="B87" s="22" t="s">
        <v>40</v>
      </c>
      <c r="C87" s="22" t="s">
        <v>57</v>
      </c>
      <c r="D87" s="23" t="s">
        <v>110</v>
      </c>
      <c r="E87" s="22" t="s">
        <v>49</v>
      </c>
      <c r="F87" s="24">
        <v>40</v>
      </c>
      <c r="G87" s="25" t="str">
        <f>INDEX(Listas!$A$2:$A$13,MONTH(A87))&amp;" "&amp;YEAR(A87)</f>
        <v>Julio 2026</v>
      </c>
    </row>
    <row r="88" spans="1:7" x14ac:dyDescent="0.25">
      <c r="A88" s="26">
        <v>46222</v>
      </c>
      <c r="B88" s="27" t="s">
        <v>40</v>
      </c>
      <c r="C88" s="27" t="s">
        <v>57</v>
      </c>
      <c r="D88" s="28" t="s">
        <v>111</v>
      </c>
      <c r="E88" s="27" t="s">
        <v>49</v>
      </c>
      <c r="F88" s="29">
        <v>130</v>
      </c>
      <c r="G88" s="30" t="str">
        <f>INDEX(Listas!$A$2:$A$13,MONTH(A88))&amp;" "&amp;YEAR(A88)</f>
        <v>Julio 2026</v>
      </c>
    </row>
    <row r="89" spans="1:7" x14ac:dyDescent="0.25">
      <c r="A89" s="21">
        <v>46224</v>
      </c>
      <c r="B89" s="22" t="s">
        <v>40</v>
      </c>
      <c r="C89" s="22" t="s">
        <v>64</v>
      </c>
      <c r="D89" s="23" t="s">
        <v>89</v>
      </c>
      <c r="E89" s="22" t="s">
        <v>49</v>
      </c>
      <c r="F89" s="24">
        <v>24</v>
      </c>
      <c r="G89" s="25" t="str">
        <f>INDEX(Listas!$A$2:$A$13,MONTH(A89))&amp;" "&amp;YEAR(A89)</f>
        <v>Julio 2026</v>
      </c>
    </row>
    <row r="90" spans="1:7" x14ac:dyDescent="0.25">
      <c r="A90" s="26">
        <v>46224</v>
      </c>
      <c r="B90" s="27" t="s">
        <v>40</v>
      </c>
      <c r="C90" s="27" t="s">
        <v>64</v>
      </c>
      <c r="D90" s="28" t="s">
        <v>90</v>
      </c>
      <c r="E90" s="27" t="s">
        <v>53</v>
      </c>
      <c r="F90" s="29">
        <v>34</v>
      </c>
      <c r="G90" s="30" t="str">
        <f>INDEX(Listas!$A$2:$A$13,MONTH(A90))&amp;" "&amp;YEAR(A90)</f>
        <v>Julio 2026</v>
      </c>
    </row>
    <row r="91" spans="1:7" x14ac:dyDescent="0.25">
      <c r="A91" s="21">
        <v>46225</v>
      </c>
      <c r="B91" s="22" t="s">
        <v>40</v>
      </c>
      <c r="C91" s="22" t="s">
        <v>69</v>
      </c>
      <c r="D91" s="23" t="s">
        <v>91</v>
      </c>
      <c r="E91" s="22" t="s">
        <v>53</v>
      </c>
      <c r="F91" s="24">
        <v>150</v>
      </c>
      <c r="G91" s="25" t="str">
        <f>INDEX(Listas!$A$2:$A$13,MONTH(A91))&amp;" "&amp;YEAR(A91)</f>
        <v>Julio 2026</v>
      </c>
    </row>
    <row r="92" spans="1:7" x14ac:dyDescent="0.25">
      <c r="A92" s="26">
        <v>46225</v>
      </c>
      <c r="B92" s="27" t="s">
        <v>40</v>
      </c>
      <c r="C92" s="27" t="s">
        <v>69</v>
      </c>
      <c r="D92" s="28" t="s">
        <v>92</v>
      </c>
      <c r="E92" s="27" t="s">
        <v>53</v>
      </c>
      <c r="F92" s="29">
        <v>220</v>
      </c>
      <c r="G92" s="30" t="str">
        <f>INDEX(Listas!$A$2:$A$13,MONTH(A92))&amp;" "&amp;YEAR(A92)</f>
        <v>Julio 2026</v>
      </c>
    </row>
    <row r="93" spans="1:7" x14ac:dyDescent="0.25">
      <c r="A93" s="21">
        <v>46225</v>
      </c>
      <c r="B93" s="22" t="s">
        <v>40</v>
      </c>
      <c r="C93" s="22" t="s">
        <v>69</v>
      </c>
      <c r="D93" s="23" t="s">
        <v>93</v>
      </c>
      <c r="E93" s="22" t="s">
        <v>53</v>
      </c>
      <c r="F93" s="24">
        <v>100</v>
      </c>
      <c r="G93" s="25" t="str">
        <f>INDEX(Listas!$A$2:$A$13,MONTH(A93))&amp;" "&amp;YEAR(A93)</f>
        <v>Julio 2026</v>
      </c>
    </row>
    <row r="94" spans="1:7" x14ac:dyDescent="0.25">
      <c r="A94" s="26">
        <v>46228</v>
      </c>
      <c r="B94" s="27" t="s">
        <v>40</v>
      </c>
      <c r="C94" s="27" t="s">
        <v>66</v>
      </c>
      <c r="D94" s="28" t="s">
        <v>94</v>
      </c>
      <c r="E94" s="27" t="s">
        <v>53</v>
      </c>
      <c r="F94" s="29">
        <v>300</v>
      </c>
      <c r="G94" s="30" t="str">
        <f>INDEX(Listas!$A$2:$A$13,MONTH(A94))&amp;" "&amp;YEAR(A94)</f>
        <v>Julio 2026</v>
      </c>
    </row>
    <row r="95" spans="1:7" x14ac:dyDescent="0.25">
      <c r="A95" s="21">
        <v>46230</v>
      </c>
      <c r="B95" s="22" t="s">
        <v>40</v>
      </c>
      <c r="C95" s="22" t="s">
        <v>42</v>
      </c>
      <c r="D95" s="23" t="s">
        <v>83</v>
      </c>
      <c r="E95" s="22" t="s">
        <v>43</v>
      </c>
      <c r="F95" s="24">
        <v>68</v>
      </c>
      <c r="G95" s="25" t="str">
        <f>INDEX(Listas!$A$2:$A$13,MONTH(A95))&amp;" "&amp;YEAR(A95)</f>
        <v>Julio 2026</v>
      </c>
    </row>
    <row r="96" spans="1:7" x14ac:dyDescent="0.25">
      <c r="A96" s="26">
        <v>46231</v>
      </c>
      <c r="B96" s="27" t="s">
        <v>40</v>
      </c>
      <c r="C96" s="27" t="s">
        <v>71</v>
      </c>
      <c r="D96" s="28" t="s">
        <v>112</v>
      </c>
      <c r="E96" s="27" t="s">
        <v>43</v>
      </c>
      <c r="F96" s="29">
        <v>30</v>
      </c>
      <c r="G96" s="30" t="str">
        <f>INDEX(Listas!$A$2:$A$13,MONTH(A96))&amp;" "&amp;YEAR(A96)</f>
        <v>Julio 2026</v>
      </c>
    </row>
    <row r="97" spans="1:7" x14ac:dyDescent="0.25">
      <c r="A97" s="21">
        <v>46235</v>
      </c>
      <c r="B97" s="22" t="s">
        <v>32</v>
      </c>
      <c r="C97" s="22" t="s">
        <v>33</v>
      </c>
      <c r="D97" s="23" t="s">
        <v>80</v>
      </c>
      <c r="E97" s="22" t="s">
        <v>53</v>
      </c>
      <c r="F97" s="24">
        <v>2100</v>
      </c>
      <c r="G97" s="25" t="str">
        <f>INDEX(Listas!$A$2:$A$13,MONTH(A97))&amp;" "&amp;YEAR(A97)</f>
        <v>Agosto 2026</v>
      </c>
    </row>
    <row r="98" spans="1:7" x14ac:dyDescent="0.25">
      <c r="A98" s="26">
        <v>46237</v>
      </c>
      <c r="B98" s="27" t="s">
        <v>40</v>
      </c>
      <c r="C98" s="27" t="s">
        <v>34</v>
      </c>
      <c r="D98" s="28" t="s">
        <v>81</v>
      </c>
      <c r="E98" s="27" t="s">
        <v>53</v>
      </c>
      <c r="F98" s="29">
        <v>650</v>
      </c>
      <c r="G98" s="30" t="str">
        <f>INDEX(Listas!$A$2:$A$13,MONTH(A98))&amp;" "&amp;YEAR(A98)</f>
        <v>Agosto 2026</v>
      </c>
    </row>
    <row r="99" spans="1:7" x14ac:dyDescent="0.25">
      <c r="A99" s="21">
        <v>46239</v>
      </c>
      <c r="B99" s="22" t="s">
        <v>40</v>
      </c>
      <c r="C99" s="22" t="s">
        <v>34</v>
      </c>
      <c r="D99" s="23" t="s">
        <v>82</v>
      </c>
      <c r="E99" s="22" t="s">
        <v>53</v>
      </c>
      <c r="F99" s="24">
        <v>105</v>
      </c>
      <c r="G99" s="25" t="str">
        <f>INDEX(Listas!$A$2:$A$13,MONTH(A99))&amp;" "&amp;YEAR(A99)</f>
        <v>Agosto 2026</v>
      </c>
    </row>
    <row r="100" spans="1:7" x14ac:dyDescent="0.25">
      <c r="A100" s="26">
        <v>46240</v>
      </c>
      <c r="B100" s="27" t="s">
        <v>40</v>
      </c>
      <c r="C100" s="27" t="s">
        <v>42</v>
      </c>
      <c r="D100" s="28" t="s">
        <v>83</v>
      </c>
      <c r="E100" s="27" t="s">
        <v>43</v>
      </c>
      <c r="F100" s="29">
        <v>88</v>
      </c>
      <c r="G100" s="30" t="str">
        <f>INDEX(Listas!$A$2:$A$13,MONTH(A100))&amp;" "&amp;YEAR(A100)</f>
        <v>Agosto 2026</v>
      </c>
    </row>
    <row r="101" spans="1:7" x14ac:dyDescent="0.25">
      <c r="A101" s="21">
        <v>46243</v>
      </c>
      <c r="B101" s="22" t="s">
        <v>40</v>
      </c>
      <c r="C101" s="22" t="s">
        <v>48</v>
      </c>
      <c r="D101" s="23" t="s">
        <v>85</v>
      </c>
      <c r="E101" s="22" t="s">
        <v>43</v>
      </c>
      <c r="F101" s="24">
        <v>40</v>
      </c>
      <c r="G101" s="25" t="str">
        <f>INDEX(Listas!$A$2:$A$13,MONTH(A101))&amp;" "&amp;YEAR(A101)</f>
        <v>Agosto 2026</v>
      </c>
    </row>
    <row r="102" spans="1:7" x14ac:dyDescent="0.25">
      <c r="A102" s="26">
        <v>46245</v>
      </c>
      <c r="B102" s="27" t="s">
        <v>40</v>
      </c>
      <c r="C102" s="27" t="s">
        <v>48</v>
      </c>
      <c r="D102" s="28" t="s">
        <v>96</v>
      </c>
      <c r="E102" s="27" t="s">
        <v>43</v>
      </c>
      <c r="F102" s="29">
        <v>60</v>
      </c>
      <c r="G102" s="30" t="str">
        <f>INDEX(Listas!$A$2:$A$13,MONTH(A102))&amp;" "&amp;YEAR(A102)</f>
        <v>Agosto 2026</v>
      </c>
    </row>
    <row r="103" spans="1:7" x14ac:dyDescent="0.25">
      <c r="A103" s="21">
        <v>46246</v>
      </c>
      <c r="B103" s="22" t="s">
        <v>40</v>
      </c>
      <c r="C103" s="22" t="s">
        <v>42</v>
      </c>
      <c r="D103" s="23" t="s">
        <v>84</v>
      </c>
      <c r="E103" s="22" t="s">
        <v>43</v>
      </c>
      <c r="F103" s="24">
        <v>75</v>
      </c>
      <c r="G103" s="25" t="str">
        <f>INDEX(Listas!$A$2:$A$13,MONTH(A103))&amp;" "&amp;YEAR(A103)</f>
        <v>Agosto 2026</v>
      </c>
    </row>
    <row r="104" spans="1:7" x14ac:dyDescent="0.25">
      <c r="A104" s="26">
        <v>46248</v>
      </c>
      <c r="B104" s="27" t="s">
        <v>40</v>
      </c>
      <c r="C104" s="27" t="s">
        <v>52</v>
      </c>
      <c r="D104" s="28" t="s">
        <v>87</v>
      </c>
      <c r="E104" s="27" t="s">
        <v>53</v>
      </c>
      <c r="F104" s="29">
        <v>45</v>
      </c>
      <c r="G104" s="30" t="str">
        <f>INDEX(Listas!$A$2:$A$13,MONTH(A104))&amp;" "&amp;YEAR(A104)</f>
        <v>Agosto 2026</v>
      </c>
    </row>
    <row r="105" spans="1:7" x14ac:dyDescent="0.25">
      <c r="A105" s="21">
        <v>46250</v>
      </c>
      <c r="B105" s="22" t="s">
        <v>32</v>
      </c>
      <c r="C105" s="22" t="s">
        <v>41</v>
      </c>
      <c r="D105" s="23" t="s">
        <v>113</v>
      </c>
      <c r="E105" s="22" t="s">
        <v>53</v>
      </c>
      <c r="F105" s="24">
        <v>380</v>
      </c>
      <c r="G105" s="25" t="str">
        <f>INDEX(Listas!$A$2:$A$13,MONTH(A105))&amp;" "&amp;YEAR(A105)</f>
        <v>Agosto 2026</v>
      </c>
    </row>
    <row r="106" spans="1:7" x14ac:dyDescent="0.25">
      <c r="A106" s="26">
        <v>46252</v>
      </c>
      <c r="B106" s="27" t="s">
        <v>40</v>
      </c>
      <c r="C106" s="27" t="s">
        <v>57</v>
      </c>
      <c r="D106" s="28" t="s">
        <v>114</v>
      </c>
      <c r="E106" s="27" t="s">
        <v>49</v>
      </c>
      <c r="F106" s="29">
        <v>150</v>
      </c>
      <c r="G106" s="30" t="str">
        <f>INDEX(Listas!$A$2:$A$13,MONTH(A106))&amp;" "&amp;YEAR(A106)</f>
        <v>Agosto 2026</v>
      </c>
    </row>
    <row r="107" spans="1:7" x14ac:dyDescent="0.25">
      <c r="A107" s="21">
        <v>46253</v>
      </c>
      <c r="B107" s="22" t="s">
        <v>40</v>
      </c>
      <c r="C107" s="22" t="s">
        <v>60</v>
      </c>
      <c r="D107" s="23" t="s">
        <v>115</v>
      </c>
      <c r="E107" s="22" t="s">
        <v>43</v>
      </c>
      <c r="F107" s="24">
        <v>45</v>
      </c>
      <c r="G107" s="25" t="str">
        <f>INDEX(Listas!$A$2:$A$13,MONTH(A107))&amp;" "&amp;YEAR(A107)</f>
        <v>Agosto 2026</v>
      </c>
    </row>
    <row r="108" spans="1:7" x14ac:dyDescent="0.25">
      <c r="A108" s="26">
        <v>46255</v>
      </c>
      <c r="B108" s="27" t="s">
        <v>40</v>
      </c>
      <c r="C108" s="27" t="s">
        <v>64</v>
      </c>
      <c r="D108" s="28" t="s">
        <v>89</v>
      </c>
      <c r="E108" s="27" t="s">
        <v>49</v>
      </c>
      <c r="F108" s="29">
        <v>24</v>
      </c>
      <c r="G108" s="30" t="str">
        <f>INDEX(Listas!$A$2:$A$13,MONTH(A108))&amp;" "&amp;YEAR(A108)</f>
        <v>Agosto 2026</v>
      </c>
    </row>
    <row r="109" spans="1:7" x14ac:dyDescent="0.25">
      <c r="A109" s="21">
        <v>46255</v>
      </c>
      <c r="B109" s="22" t="s">
        <v>40</v>
      </c>
      <c r="C109" s="22" t="s">
        <v>64</v>
      </c>
      <c r="D109" s="23" t="s">
        <v>90</v>
      </c>
      <c r="E109" s="22" t="s">
        <v>53</v>
      </c>
      <c r="F109" s="24">
        <v>34</v>
      </c>
      <c r="G109" s="25" t="str">
        <f>INDEX(Listas!$A$2:$A$13,MONTH(A109))&amp;" "&amp;YEAR(A109)</f>
        <v>Agosto 2026</v>
      </c>
    </row>
    <row r="110" spans="1:7" x14ac:dyDescent="0.25">
      <c r="A110" s="26">
        <v>46256</v>
      </c>
      <c r="B110" s="27" t="s">
        <v>40</v>
      </c>
      <c r="C110" s="27" t="s">
        <v>69</v>
      </c>
      <c r="D110" s="28" t="s">
        <v>91</v>
      </c>
      <c r="E110" s="27" t="s">
        <v>53</v>
      </c>
      <c r="F110" s="29">
        <v>150</v>
      </c>
      <c r="G110" s="30" t="str">
        <f>INDEX(Listas!$A$2:$A$13,MONTH(A110))&amp;" "&amp;YEAR(A110)</f>
        <v>Agosto 2026</v>
      </c>
    </row>
    <row r="111" spans="1:7" x14ac:dyDescent="0.25">
      <c r="A111" s="21">
        <v>46256</v>
      </c>
      <c r="B111" s="22" t="s">
        <v>40</v>
      </c>
      <c r="C111" s="22" t="s">
        <v>69</v>
      </c>
      <c r="D111" s="23" t="s">
        <v>92</v>
      </c>
      <c r="E111" s="22" t="s">
        <v>53</v>
      </c>
      <c r="F111" s="24">
        <v>220</v>
      </c>
      <c r="G111" s="25" t="str">
        <f>INDEX(Listas!$A$2:$A$13,MONTH(A111))&amp;" "&amp;YEAR(A111)</f>
        <v>Agosto 2026</v>
      </c>
    </row>
    <row r="112" spans="1:7" x14ac:dyDescent="0.25">
      <c r="A112" s="26">
        <v>46256</v>
      </c>
      <c r="B112" s="27" t="s">
        <v>40</v>
      </c>
      <c r="C112" s="27" t="s">
        <v>69</v>
      </c>
      <c r="D112" s="28" t="s">
        <v>93</v>
      </c>
      <c r="E112" s="27" t="s">
        <v>53</v>
      </c>
      <c r="F112" s="29">
        <v>100</v>
      </c>
      <c r="G112" s="30" t="str">
        <f>INDEX(Listas!$A$2:$A$13,MONTH(A112))&amp;" "&amp;YEAR(A112)</f>
        <v>Agosto 2026</v>
      </c>
    </row>
    <row r="113" spans="1:7" x14ac:dyDescent="0.25">
      <c r="A113" s="21">
        <v>46257</v>
      </c>
      <c r="B113" s="22" t="s">
        <v>40</v>
      </c>
      <c r="C113" s="22" t="s">
        <v>66</v>
      </c>
      <c r="D113" s="23" t="s">
        <v>94</v>
      </c>
      <c r="E113" s="22" t="s">
        <v>53</v>
      </c>
      <c r="F113" s="24">
        <v>300</v>
      </c>
      <c r="G113" s="25" t="str">
        <f>INDEX(Listas!$A$2:$A$13,MONTH(A113))&amp;" "&amp;YEAR(A113)</f>
        <v>Agosto 2026</v>
      </c>
    </row>
    <row r="114" spans="1:7" x14ac:dyDescent="0.25">
      <c r="A114" s="26">
        <v>46258</v>
      </c>
      <c r="B114" s="27" t="s">
        <v>40</v>
      </c>
      <c r="C114" s="27" t="s">
        <v>42</v>
      </c>
      <c r="D114" s="28" t="s">
        <v>83</v>
      </c>
      <c r="E114" s="27" t="s">
        <v>43</v>
      </c>
      <c r="F114" s="29">
        <v>65</v>
      </c>
      <c r="G114" s="30" t="str">
        <f>INDEX(Listas!$A$2:$A$13,MONTH(A114))&amp;" "&amp;YEAR(A114)</f>
        <v>Agosto 2026</v>
      </c>
    </row>
  </sheetData>
  <autoFilter ref="A4:G114" xr:uid="{00000000-0009-0000-0000-000002000000}"/>
  <mergeCells count="2">
    <mergeCell ref="A1:G1"/>
    <mergeCell ref="A2:G2"/>
  </mergeCell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200-000000000000}">
          <x14:formula1>
            <xm:f>Listas!$B$2:$B$3</xm:f>
          </x14:formula1>
          <x14:formula2>
            <xm:f>0</xm:f>
          </x14:formula2>
          <xm:sqref>B5:B164</xm:sqref>
        </x14:dataValidation>
        <x14:dataValidation type="list" xr:uid="{00000000-0002-0000-0200-000001000000}">
          <x14:formula1>
            <xm:f>Listas!$E$2:$E$15</xm:f>
          </x14:formula1>
          <x14:formula2>
            <xm:f>0</xm:f>
          </x14:formula2>
          <xm:sqref>C5:C164</xm:sqref>
        </x14:dataValidation>
        <x14:dataValidation type="list" xr:uid="{00000000-0002-0000-0200-000002000000}">
          <x14:formula1>
            <xm:f>Listas!$F$2:$F$5</xm:f>
          </x14:formula1>
          <x14:formula2>
            <xm:f>0</xm:f>
          </x14:formula2>
          <xm:sqref>E5:E164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D7B"/>
    <pageSetUpPr fitToPage="1"/>
  </sheetPr>
  <dimension ref="A1:AC31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2" customWidth="1"/>
    <col min="2" max="2" width="16" customWidth="1"/>
    <col min="3" max="3" width="17" customWidth="1"/>
    <col min="4" max="4" width="13" customWidth="1"/>
    <col min="5" max="5" width="15" customWidth="1"/>
    <col min="6" max="6" width="24" customWidth="1"/>
    <col min="7" max="7" width="3" customWidth="1"/>
  </cols>
  <sheetData>
    <row r="1" spans="1:29" ht="25.5" customHeight="1" x14ac:dyDescent="0.25">
      <c r="A1" s="68" t="s">
        <v>143</v>
      </c>
      <c r="B1" s="68"/>
      <c r="C1" s="68"/>
      <c r="D1" s="68"/>
      <c r="E1" s="68"/>
      <c r="F1" s="68"/>
      <c r="G1" s="68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3" spans="1:29" x14ac:dyDescent="0.25">
      <c r="A3" s="32" t="s">
        <v>144</v>
      </c>
      <c r="B3" s="45" t="str">
        <f>Resumen!C4&amp;" de "&amp;Resumen!F4</f>
        <v>Agosto de 2026</v>
      </c>
      <c r="C3" s="69" t="s">
        <v>145</v>
      </c>
      <c r="D3" s="69"/>
      <c r="E3" s="69"/>
    </row>
    <row r="5" spans="1:29" ht="18" customHeight="1" x14ac:dyDescent="0.25">
      <c r="A5" s="12" t="s">
        <v>146</v>
      </c>
      <c r="B5" s="12"/>
      <c r="C5" s="12"/>
      <c r="D5" s="12"/>
      <c r="E5" s="12"/>
      <c r="F5" s="12"/>
    </row>
    <row r="6" spans="1:29" ht="25.5" customHeight="1" x14ac:dyDescent="0.25">
      <c r="A6" s="20" t="s">
        <v>76</v>
      </c>
      <c r="B6" s="20" t="s">
        <v>147</v>
      </c>
      <c r="C6" s="20" t="s">
        <v>148</v>
      </c>
      <c r="D6" s="20" t="s">
        <v>149</v>
      </c>
      <c r="E6" s="20" t="s">
        <v>150</v>
      </c>
      <c r="F6" s="20" t="s">
        <v>151</v>
      </c>
    </row>
    <row r="7" spans="1:29" x14ac:dyDescent="0.25">
      <c r="A7" s="46" t="s">
        <v>34</v>
      </c>
      <c r="B7" s="30" t="str">
        <f>INDEX(Listas!$J$2:$J$12,MATCH(A7,Listas!$I$2:$I$12,0))</f>
        <v>Necesidad</v>
      </c>
      <c r="C7" s="47">
        <v>780</v>
      </c>
      <c r="D7" s="40">
        <f>SUMIFS(Transacciones!$F:$F,Transacciones!$B:$B,"Gasto",Transacciones!$C:$C,$A7,Transacciones!$A:$A,"&gt;="&amp;Resumen!$J$5,Transacciones!$A:$A,"&lt;="&amp;Resumen!$J$6)</f>
        <v>755</v>
      </c>
      <c r="E7" s="40">
        <f t="shared" ref="E7:E17" si="0">C7-D7</f>
        <v>25</v>
      </c>
      <c r="F7" s="48">
        <f t="shared" ref="F7:F18" si="1">IFERROR(D7/C7,0)</f>
        <v>0.96794871794871795</v>
      </c>
    </row>
    <row r="8" spans="1:29" x14ac:dyDescent="0.25">
      <c r="A8" s="49" t="s">
        <v>42</v>
      </c>
      <c r="B8" s="25" t="str">
        <f>INDEX(Listas!$J$2:$J$12,MATCH(A8,Listas!$I$2:$I$12,0))</f>
        <v>Necesidad</v>
      </c>
      <c r="C8" s="47">
        <v>300</v>
      </c>
      <c r="D8" s="43">
        <f>SUMIFS(Transacciones!$F:$F,Transacciones!$B:$B,"Gasto",Transacciones!$C:$C,$A8,Transacciones!$A:$A,"&gt;="&amp;Resumen!$J$5,Transacciones!$A:$A,"&lt;="&amp;Resumen!$J$6)</f>
        <v>228</v>
      </c>
      <c r="E8" s="43">
        <f t="shared" si="0"/>
        <v>72</v>
      </c>
      <c r="F8" s="50">
        <f t="shared" si="1"/>
        <v>0.76</v>
      </c>
    </row>
    <row r="9" spans="1:29" x14ac:dyDescent="0.25">
      <c r="A9" s="46" t="s">
        <v>48</v>
      </c>
      <c r="B9" s="30" t="str">
        <f>INDEX(Listas!$J$2:$J$12,MATCH(A9,Listas!$I$2:$I$12,0))</f>
        <v>Necesidad</v>
      </c>
      <c r="C9" s="47">
        <v>90</v>
      </c>
      <c r="D9" s="40">
        <f>SUMIFS(Transacciones!$F:$F,Transacciones!$B:$B,"Gasto",Transacciones!$C:$C,$A9,Transacciones!$A:$A,"&gt;="&amp;Resumen!$J$5,Transacciones!$A:$A,"&lt;="&amp;Resumen!$J$6)</f>
        <v>100</v>
      </c>
      <c r="E9" s="40">
        <f t="shared" si="0"/>
        <v>-10</v>
      </c>
      <c r="F9" s="48">
        <f t="shared" si="1"/>
        <v>1.1111111111111112</v>
      </c>
    </row>
    <row r="10" spans="1:29" x14ac:dyDescent="0.25">
      <c r="A10" s="49" t="s">
        <v>52</v>
      </c>
      <c r="B10" s="25" t="str">
        <f>INDEX(Listas!$J$2:$J$12,MATCH(A10,Listas!$I$2:$I$12,0))</f>
        <v>Necesidad</v>
      </c>
      <c r="C10" s="47">
        <v>60</v>
      </c>
      <c r="D10" s="43">
        <f>SUMIFS(Transacciones!$F:$F,Transacciones!$B:$B,"Gasto",Transacciones!$C:$C,$A10,Transacciones!$A:$A,"&gt;="&amp;Resumen!$J$5,Transacciones!$A:$A,"&lt;="&amp;Resumen!$J$6)</f>
        <v>45</v>
      </c>
      <c r="E10" s="43">
        <f t="shared" si="0"/>
        <v>15</v>
      </c>
      <c r="F10" s="50">
        <f t="shared" si="1"/>
        <v>0.75</v>
      </c>
    </row>
    <row r="11" spans="1:29" x14ac:dyDescent="0.25">
      <c r="A11" s="46" t="s">
        <v>57</v>
      </c>
      <c r="B11" s="30" t="str">
        <f>INDEX(Listas!$J$2:$J$12,MATCH(A11,Listas!$I$2:$I$12,0))</f>
        <v>Deseo</v>
      </c>
      <c r="C11" s="47">
        <v>120</v>
      </c>
      <c r="D11" s="40">
        <f>SUMIFS(Transacciones!$F:$F,Transacciones!$B:$B,"Gasto",Transacciones!$C:$C,$A11,Transacciones!$A:$A,"&gt;="&amp;Resumen!$J$5,Transacciones!$A:$A,"&lt;="&amp;Resumen!$J$6)</f>
        <v>150</v>
      </c>
      <c r="E11" s="40">
        <f t="shared" si="0"/>
        <v>-30</v>
      </c>
      <c r="F11" s="48">
        <f t="shared" si="1"/>
        <v>1.25</v>
      </c>
    </row>
    <row r="12" spans="1:29" x14ac:dyDescent="0.25">
      <c r="A12" s="49" t="s">
        <v>60</v>
      </c>
      <c r="B12" s="25" t="str">
        <f>INDEX(Listas!$J$2:$J$12,MATCH(A12,Listas!$I$2:$I$12,0))</f>
        <v>Deseo</v>
      </c>
      <c r="C12" s="47">
        <v>60</v>
      </c>
      <c r="D12" s="43">
        <f>SUMIFS(Transacciones!$F:$F,Transacciones!$B:$B,"Gasto",Transacciones!$C:$C,$A12,Transacciones!$A:$A,"&gt;="&amp;Resumen!$J$5,Transacciones!$A:$A,"&lt;="&amp;Resumen!$J$6)</f>
        <v>45</v>
      </c>
      <c r="E12" s="43">
        <f t="shared" si="0"/>
        <v>15</v>
      </c>
      <c r="F12" s="50">
        <f t="shared" si="1"/>
        <v>0.75</v>
      </c>
    </row>
    <row r="13" spans="1:29" x14ac:dyDescent="0.25">
      <c r="A13" s="46" t="s">
        <v>62</v>
      </c>
      <c r="B13" s="30" t="str">
        <f>INDEX(Listas!$J$2:$J$12,MATCH(A13,Listas!$I$2:$I$12,0))</f>
        <v>Deseo</v>
      </c>
      <c r="C13" s="47">
        <v>40</v>
      </c>
      <c r="D13" s="40">
        <f>SUMIFS(Transacciones!$F:$F,Transacciones!$B:$B,"Gasto",Transacciones!$C:$C,$A13,Transacciones!$A:$A,"&gt;="&amp;Resumen!$J$5,Transacciones!$A:$A,"&lt;="&amp;Resumen!$J$6)</f>
        <v>0</v>
      </c>
      <c r="E13" s="40">
        <f t="shared" si="0"/>
        <v>40</v>
      </c>
      <c r="F13" s="48">
        <f t="shared" si="1"/>
        <v>0</v>
      </c>
    </row>
    <row r="14" spans="1:29" x14ac:dyDescent="0.25">
      <c r="A14" s="49" t="s">
        <v>64</v>
      </c>
      <c r="B14" s="25" t="str">
        <f>INDEX(Listas!$J$2:$J$12,MATCH(A14,Listas!$I$2:$I$12,0))</f>
        <v>Deseo</v>
      </c>
      <c r="C14" s="47">
        <v>50</v>
      </c>
      <c r="D14" s="43">
        <f>SUMIFS(Transacciones!$F:$F,Transacciones!$B:$B,"Gasto",Transacciones!$C:$C,$A14,Transacciones!$A:$A,"&gt;="&amp;Resumen!$J$5,Transacciones!$A:$A,"&lt;="&amp;Resumen!$J$6)</f>
        <v>58</v>
      </c>
      <c r="E14" s="43">
        <f t="shared" si="0"/>
        <v>-8</v>
      </c>
      <c r="F14" s="50">
        <f t="shared" si="1"/>
        <v>1.1599999999999999</v>
      </c>
    </row>
    <row r="15" spans="1:29" x14ac:dyDescent="0.25">
      <c r="A15" s="46" t="s">
        <v>66</v>
      </c>
      <c r="B15" s="30" t="str">
        <f>INDEX(Listas!$J$2:$J$12,MATCH(A15,Listas!$I$2:$I$12,0))</f>
        <v>Ahorro/Deuda</v>
      </c>
      <c r="C15" s="47">
        <v>300</v>
      </c>
      <c r="D15" s="40">
        <f>SUMIFS(Transacciones!$F:$F,Transacciones!$B:$B,"Gasto",Transacciones!$C:$C,$A15,Transacciones!$A:$A,"&gt;="&amp;Resumen!$J$5,Transacciones!$A:$A,"&lt;="&amp;Resumen!$J$6)</f>
        <v>300</v>
      </c>
      <c r="E15" s="40">
        <f t="shared" si="0"/>
        <v>0</v>
      </c>
      <c r="F15" s="48">
        <f t="shared" si="1"/>
        <v>1</v>
      </c>
    </row>
    <row r="16" spans="1:29" x14ac:dyDescent="0.25">
      <c r="A16" s="49" t="s">
        <v>69</v>
      </c>
      <c r="B16" s="25" t="str">
        <f>INDEX(Listas!$J$2:$J$12,MATCH(A16,Listas!$I$2:$I$12,0))</f>
        <v>Ahorro/Deuda</v>
      </c>
      <c r="C16" s="47">
        <v>470</v>
      </c>
      <c r="D16" s="43">
        <f>SUMIFS(Transacciones!$F:$F,Transacciones!$B:$B,"Gasto",Transacciones!$C:$C,$A16,Transacciones!$A:$A,"&gt;="&amp;Resumen!$J$5,Transacciones!$A:$A,"&lt;="&amp;Resumen!$J$6)</f>
        <v>470</v>
      </c>
      <c r="E16" s="43">
        <f t="shared" si="0"/>
        <v>0</v>
      </c>
      <c r="F16" s="50">
        <f t="shared" si="1"/>
        <v>1</v>
      </c>
    </row>
    <row r="17" spans="1:7" x14ac:dyDescent="0.25">
      <c r="A17" s="46" t="s">
        <v>71</v>
      </c>
      <c r="B17" s="30" t="str">
        <f>INDEX(Listas!$J$2:$J$12,MATCH(A17,Listas!$I$2:$I$12,0))</f>
        <v>Deseo</v>
      </c>
      <c r="C17" s="47">
        <v>40</v>
      </c>
      <c r="D17" s="40">
        <f>SUMIFS(Transacciones!$F:$F,Transacciones!$B:$B,"Gasto",Transacciones!$C:$C,$A17,Transacciones!$A:$A,"&gt;="&amp;Resumen!$J$5,Transacciones!$A:$A,"&lt;="&amp;Resumen!$J$6)</f>
        <v>0</v>
      </c>
      <c r="E17" s="40">
        <f t="shared" si="0"/>
        <v>40</v>
      </c>
      <c r="F17" s="48">
        <f t="shared" si="1"/>
        <v>0</v>
      </c>
    </row>
    <row r="18" spans="1:7" x14ac:dyDescent="0.25">
      <c r="A18" s="51" t="s">
        <v>152</v>
      </c>
      <c r="B18" s="51"/>
      <c r="C18" s="52">
        <f>SUM(C7:C17)</f>
        <v>2310</v>
      </c>
      <c r="D18" s="52">
        <f>SUM(D7:D17)</f>
        <v>2151</v>
      </c>
      <c r="E18" s="52">
        <f>SUM(E7:E17)</f>
        <v>159</v>
      </c>
      <c r="F18" s="53">
        <f t="shared" si="1"/>
        <v>0.9311688311688312</v>
      </c>
    </row>
    <row r="20" spans="1:7" ht="18" customHeight="1" x14ac:dyDescent="0.25">
      <c r="A20" s="12" t="s">
        <v>153</v>
      </c>
      <c r="B20" s="12"/>
      <c r="C20" s="12"/>
      <c r="D20" s="12"/>
      <c r="E20" s="12"/>
      <c r="F20" s="12"/>
    </row>
    <row r="21" spans="1:7" ht="25.5" customHeight="1" x14ac:dyDescent="0.25">
      <c r="A21" s="20" t="s">
        <v>76</v>
      </c>
      <c r="B21" s="20"/>
      <c r="C21" s="20" t="s">
        <v>148</v>
      </c>
      <c r="D21" s="20" t="s">
        <v>149</v>
      </c>
      <c r="E21" s="20" t="s">
        <v>150</v>
      </c>
      <c r="F21" s="20"/>
    </row>
    <row r="22" spans="1:7" x14ac:dyDescent="0.25">
      <c r="A22" s="46" t="s">
        <v>33</v>
      </c>
      <c r="B22" s="54"/>
      <c r="C22" s="55">
        <v>2100</v>
      </c>
      <c r="D22" s="40">
        <f>SUMIFS(Transacciones!$F:$F,Transacciones!$B:$B,"Ingreso",Transacciones!$C:$C,$A22,Transacciones!$A:$A,"&gt;="&amp;Resumen!$J$5,Transacciones!$A:$A,"&lt;="&amp;Resumen!$J$6)</f>
        <v>2100</v>
      </c>
      <c r="E22" s="40">
        <f>C22-D22</f>
        <v>0</v>
      </c>
      <c r="F22" s="54"/>
    </row>
    <row r="23" spans="1:7" x14ac:dyDescent="0.25">
      <c r="A23" s="49" t="s">
        <v>41</v>
      </c>
      <c r="B23" s="54"/>
      <c r="C23" s="47">
        <v>400</v>
      </c>
      <c r="D23" s="43">
        <f>SUMIFS(Transacciones!$F:$F,Transacciones!$B:$B,"Ingreso",Transacciones!$C:$C,$A23,Transacciones!$A:$A,"&gt;="&amp;Resumen!$J$5,Transacciones!$A:$A,"&lt;="&amp;Resumen!$J$6)</f>
        <v>380</v>
      </c>
      <c r="E23" s="43">
        <f>C23-D23</f>
        <v>20</v>
      </c>
      <c r="F23" s="54"/>
    </row>
    <row r="24" spans="1:7" x14ac:dyDescent="0.25">
      <c r="A24" s="46" t="s">
        <v>47</v>
      </c>
      <c r="B24" s="54"/>
      <c r="C24" s="55">
        <v>50</v>
      </c>
      <c r="D24" s="40">
        <f>SUMIFS(Transacciones!$F:$F,Transacciones!$B:$B,"Ingreso",Transacciones!$C:$C,$A24,Transacciones!$A:$A,"&gt;="&amp;Resumen!$J$5,Transacciones!$A:$A,"&lt;="&amp;Resumen!$J$6)</f>
        <v>0</v>
      </c>
      <c r="E24" s="40">
        <f>C24-D24</f>
        <v>50</v>
      </c>
      <c r="F24" s="54"/>
    </row>
    <row r="25" spans="1:7" x14ac:dyDescent="0.25">
      <c r="A25" s="51" t="s">
        <v>154</v>
      </c>
      <c r="B25" s="51"/>
      <c r="C25" s="52">
        <f>SUM(C22:C24)</f>
        <v>2550</v>
      </c>
      <c r="D25" s="52">
        <f>SUM(D22:D24)</f>
        <v>2480</v>
      </c>
      <c r="E25" s="52">
        <f>SUM(E22:E24)</f>
        <v>70</v>
      </c>
      <c r="F25" s="51"/>
    </row>
    <row r="27" spans="1:7" ht="18" customHeight="1" x14ac:dyDescent="0.25">
      <c r="A27" s="9" t="s">
        <v>155</v>
      </c>
      <c r="B27" s="9"/>
      <c r="C27" s="9"/>
      <c r="D27" s="9"/>
      <c r="E27" s="9"/>
      <c r="F27" s="9"/>
    </row>
    <row r="28" spans="1:7" ht="25.5" customHeight="1" x14ac:dyDescent="0.25">
      <c r="A28" s="20" t="s">
        <v>147</v>
      </c>
      <c r="B28" s="20" t="s">
        <v>156</v>
      </c>
      <c r="C28" s="20" t="s">
        <v>149</v>
      </c>
      <c r="D28" s="20" t="s">
        <v>157</v>
      </c>
      <c r="E28" s="20"/>
      <c r="F28" s="20" t="s">
        <v>158</v>
      </c>
    </row>
    <row r="29" spans="1:7" x14ac:dyDescent="0.25">
      <c r="A29" s="46" t="s">
        <v>36</v>
      </c>
      <c r="B29" s="56">
        <v>0.5</v>
      </c>
      <c r="C29" s="40">
        <f>SUMIF($B$7:$B$17,$A29,$D$7:$D$17)</f>
        <v>1128</v>
      </c>
      <c r="D29" s="48">
        <f>IFERROR(C29/$D$25,0)</f>
        <v>0.45483870967741935</v>
      </c>
      <c r="E29" s="54"/>
      <c r="F29" s="70" t="str">
        <f>IF(D29&lt;=B29+0.03,"Dentro de objetivo","Por encima del objetivo")</f>
        <v>Dentro de objetivo</v>
      </c>
      <c r="G29" s="70"/>
    </row>
    <row r="30" spans="1:7" x14ac:dyDescent="0.25">
      <c r="A30" s="49" t="s">
        <v>58</v>
      </c>
      <c r="B30" s="57">
        <v>0.3</v>
      </c>
      <c r="C30" s="43">
        <f>SUMIF($B$7:$B$17,$A30,$D$7:$D$17)</f>
        <v>253</v>
      </c>
      <c r="D30" s="50">
        <f>IFERROR(C30/$D$25,0)</f>
        <v>0.10201612903225807</v>
      </c>
      <c r="E30" s="54"/>
      <c r="F30" s="71" t="str">
        <f>IF(D30&lt;=B30+0.03,"Dentro de objetivo","Por encima del objetivo")</f>
        <v>Dentro de objetivo</v>
      </c>
      <c r="G30" s="71"/>
    </row>
    <row r="31" spans="1:7" x14ac:dyDescent="0.25">
      <c r="A31" s="46" t="s">
        <v>67</v>
      </c>
      <c r="B31" s="56">
        <v>0.2</v>
      </c>
      <c r="C31" s="40">
        <f>SUMIF($B$7:$B$17,$A31,$D$7:$D$17)</f>
        <v>770</v>
      </c>
      <c r="D31" s="48">
        <f>IFERROR(C31/$D$25,0)</f>
        <v>0.31048387096774194</v>
      </c>
      <c r="E31" s="54"/>
      <c r="F31" s="70" t="str">
        <f>IF(D31&lt;=B31+0.03,"Dentro de objetivo","Por encima del objetivo")</f>
        <v>Por encima del objetivo</v>
      </c>
      <c r="G31" s="70"/>
    </row>
  </sheetData>
  <mergeCells count="8">
    <mergeCell ref="F29:G29"/>
    <mergeCell ref="F30:G30"/>
    <mergeCell ref="F31:G31"/>
    <mergeCell ref="A1:G1"/>
    <mergeCell ref="C3:E3"/>
    <mergeCell ref="A5:F5"/>
    <mergeCell ref="A20:F20"/>
    <mergeCell ref="A27:F27"/>
  </mergeCells>
  <conditionalFormatting sqref="F7:F17">
    <cfRule type="dataBar" priority="2">
      <dataBar>
        <cfvo type="num" val="0"/>
        <cfvo type="num" val="1.2"/>
        <color rgb="FF2E7D7B"/>
      </dataBar>
      <extLst>
        <ext xmlns:x14="http://schemas.microsoft.com/office/spreadsheetml/2009/9/main" uri="{B025F937-C7B1-47D3-B67F-A62EFF666E3E}">
          <x14:id>{7CE7638E-1868-4239-98E6-3D6FCA561968}</x14:id>
        </ext>
      </extLst>
    </cfRule>
    <cfRule type="cellIs" dxfId="2" priority="3" operator="greaterThan">
      <formula>1</formula>
    </cfRule>
  </conditionalFormatting>
  <conditionalFormatting sqref="F29:F31">
    <cfRule type="expression" dxfId="1" priority="4">
      <formula>F29="Por encima del objetivo"</formula>
    </cfRule>
    <cfRule type="expression" dxfId="0" priority="5">
      <formula>F29="Dentro de objetivo"</formula>
    </cfRule>
  </conditionalFormatting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E7638E-1868-4239-98E6-3D6FCA561968}">
            <x14:dataBar axisPosition="none">
              <x14:cfvo type="num">
                <xm:f>0</xm:f>
              </x14:cfvo>
              <x14:cfvo type="num">
                <xm:f>1.2</xm:f>
              </x14:cfvo>
              <x14:negativeFillColor rgb="FF2E7D7B"/>
            </x14:dataBar>
          </x14:cfRule>
          <xm:sqref>F7:F17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99A3C"/>
    <pageSetUpPr fitToPage="1"/>
  </sheetPr>
  <dimension ref="A1:AC8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2" customWidth="1"/>
    <col min="2" max="2" width="19" customWidth="1"/>
    <col min="3" max="3" width="17" customWidth="1"/>
    <col min="4" max="4" width="16" customWidth="1"/>
    <col min="5" max="7" width="13" customWidth="1"/>
    <col min="8" max="8" width="20" customWidth="1"/>
    <col min="9" max="9" width="13" customWidth="1"/>
  </cols>
  <sheetData>
    <row r="1" spans="1:29" ht="25.5" customHeight="1" x14ac:dyDescent="0.25">
      <c r="A1" s="68" t="s">
        <v>159</v>
      </c>
      <c r="B1" s="68"/>
      <c r="C1" s="68"/>
      <c r="D1" s="68"/>
      <c r="E1" s="68"/>
      <c r="F1" s="68"/>
      <c r="G1" s="68"/>
      <c r="H1" s="68"/>
      <c r="I1" s="68"/>
      <c r="J1" s="68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x14ac:dyDescent="0.25">
      <c r="A2" s="13" t="s">
        <v>160</v>
      </c>
      <c r="B2" s="13"/>
      <c r="C2" s="13"/>
      <c r="D2" s="13"/>
      <c r="E2" s="13"/>
      <c r="F2" s="13"/>
      <c r="G2" s="13"/>
      <c r="H2" s="13"/>
      <c r="I2" s="13"/>
      <c r="J2" s="13"/>
    </row>
    <row r="4" spans="1:29" ht="25.5" customHeight="1" x14ac:dyDescent="0.25">
      <c r="A4" s="20" t="s">
        <v>161</v>
      </c>
      <c r="B4" s="20" t="s">
        <v>76</v>
      </c>
      <c r="C4" s="20" t="s">
        <v>162</v>
      </c>
      <c r="D4" s="20" t="s">
        <v>163</v>
      </c>
      <c r="E4" s="20" t="s">
        <v>122</v>
      </c>
      <c r="F4" s="20" t="s">
        <v>164</v>
      </c>
      <c r="G4" s="20" t="s">
        <v>165</v>
      </c>
      <c r="H4" s="20" t="s">
        <v>166</v>
      </c>
      <c r="I4" s="20" t="s">
        <v>167</v>
      </c>
    </row>
    <row r="5" spans="1:29" x14ac:dyDescent="0.25">
      <c r="A5" s="46" t="s">
        <v>37</v>
      </c>
      <c r="B5" s="33" t="s">
        <v>37</v>
      </c>
      <c r="C5" s="47">
        <v>6000</v>
      </c>
      <c r="D5" s="47">
        <v>3200</v>
      </c>
      <c r="E5" s="58">
        <v>45672</v>
      </c>
      <c r="F5" s="58">
        <v>46568</v>
      </c>
      <c r="G5" s="59">
        <f ca="1">MAX(1,ROUND((F5-TODAY())/30,0))</f>
        <v>10</v>
      </c>
      <c r="H5" s="41">
        <f ca="1">IFERROR((C5-D5)/G5,0)</f>
        <v>280</v>
      </c>
      <c r="I5" s="48">
        <f>IFERROR(D5/C5,0)</f>
        <v>0.53333333333333333</v>
      </c>
    </row>
    <row r="6" spans="1:29" x14ac:dyDescent="0.25">
      <c r="A6" s="49" t="s">
        <v>168</v>
      </c>
      <c r="B6" s="33" t="s">
        <v>44</v>
      </c>
      <c r="C6" s="47">
        <v>2500</v>
      </c>
      <c r="D6" s="47">
        <v>900</v>
      </c>
      <c r="E6" s="58">
        <v>46032</v>
      </c>
      <c r="F6" s="58">
        <v>46477</v>
      </c>
      <c r="G6" s="60">
        <f ca="1">MAX(1,ROUND((F6-TODAY())/30,0))</f>
        <v>7</v>
      </c>
      <c r="H6" s="44">
        <f ca="1">IFERROR((C6-D6)/G6,0)</f>
        <v>228.57142857142858</v>
      </c>
      <c r="I6" s="50">
        <f>IFERROR(D6/C6,0)</f>
        <v>0.36</v>
      </c>
    </row>
    <row r="7" spans="1:29" x14ac:dyDescent="0.25">
      <c r="A7" s="46" t="s">
        <v>169</v>
      </c>
      <c r="B7" s="33" t="s">
        <v>34</v>
      </c>
      <c r="C7" s="47">
        <v>20000</v>
      </c>
      <c r="D7" s="47">
        <v>5400</v>
      </c>
      <c r="E7" s="58">
        <v>45536</v>
      </c>
      <c r="F7" s="58">
        <v>47361</v>
      </c>
      <c r="G7" s="59">
        <f ca="1">MAX(1,ROUND((F7-TODAY())/30,0))</f>
        <v>37</v>
      </c>
      <c r="H7" s="41">
        <f ca="1">IFERROR((C7-D7)/G7,0)</f>
        <v>394.59459459459458</v>
      </c>
      <c r="I7" s="48">
        <f>IFERROR(D7/C7,0)</f>
        <v>0.27</v>
      </c>
    </row>
    <row r="8" spans="1:29" x14ac:dyDescent="0.25">
      <c r="A8" s="51" t="s">
        <v>170</v>
      </c>
      <c r="B8" s="51"/>
      <c r="C8" s="52">
        <f>SUM(C5:C7)</f>
        <v>28500</v>
      </c>
      <c r="D8" s="52">
        <f>SUM(D5:D7)</f>
        <v>9500</v>
      </c>
      <c r="E8" s="51"/>
      <c r="F8" s="51"/>
      <c r="G8" s="51"/>
      <c r="H8" s="51"/>
      <c r="I8" s="53">
        <f>IFERROR(D8/C8,0)</f>
        <v>0.33333333333333331</v>
      </c>
    </row>
  </sheetData>
  <mergeCells count="2">
    <mergeCell ref="A1:J1"/>
    <mergeCell ref="A2:J2"/>
  </mergeCells>
  <conditionalFormatting sqref="I5:I7">
    <cfRule type="dataBar" priority="2">
      <dataBar>
        <cfvo type="num" val="0"/>
        <cfvo type="num" val="1"/>
        <color rgb="FFC99A3C"/>
      </dataBar>
      <extLst>
        <ext xmlns:x14="http://schemas.microsoft.com/office/spreadsheetml/2009/9/main" uri="{B025F937-C7B1-47D3-B67F-A62EFF666E3E}">
          <x14:id>{2170675A-3433-41D7-A5DD-B2A2D72B61EC}</x14:id>
        </ext>
      </extLst>
    </cfRule>
  </conditionalFormatting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0675A-3433-41D7-A5DD-B2A2D72B61E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99A3C"/>
            </x14:dataBar>
          </x14:cfRule>
          <xm:sqref>I5:I7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500-000000000000}">
          <x14:formula1>
            <xm:f>Listas!$L$2:$L$5</xm:f>
          </x14:formula1>
          <x14:formula2>
            <xm:f>0</xm:f>
          </x14:formula2>
          <xm:sqref>B5:B7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99A3C"/>
    <pageSetUpPr fitToPage="1"/>
  </sheetPr>
  <dimension ref="A1:AC10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2" width="20" customWidth="1"/>
    <col min="3" max="3" width="17" customWidth="1"/>
    <col min="4" max="4" width="10" customWidth="1"/>
    <col min="5" max="5" width="15" customWidth="1"/>
    <col min="6" max="6" width="13" customWidth="1"/>
    <col min="7" max="8" width="16" customWidth="1"/>
  </cols>
  <sheetData>
    <row r="1" spans="1:29" ht="25.5" customHeight="1" x14ac:dyDescent="0.25">
      <c r="A1" s="68" t="s">
        <v>171</v>
      </c>
      <c r="B1" s="68"/>
      <c r="C1" s="68"/>
      <c r="D1" s="68"/>
      <c r="E1" s="68"/>
      <c r="F1" s="68"/>
      <c r="G1" s="68"/>
      <c r="H1" s="68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x14ac:dyDescent="0.25">
      <c r="A2" s="13" t="s">
        <v>172</v>
      </c>
      <c r="B2" s="13"/>
      <c r="C2" s="13"/>
      <c r="D2" s="13"/>
      <c r="E2" s="13"/>
      <c r="F2" s="13"/>
      <c r="G2" s="13"/>
      <c r="H2" s="13"/>
    </row>
    <row r="4" spans="1:29" ht="25.5" customHeight="1" x14ac:dyDescent="0.25">
      <c r="A4" s="20" t="s">
        <v>173</v>
      </c>
      <c r="B4" s="20" t="s">
        <v>22</v>
      </c>
      <c r="C4" s="20" t="s">
        <v>174</v>
      </c>
      <c r="D4" s="20" t="s">
        <v>175</v>
      </c>
      <c r="E4" s="20" t="s">
        <v>176</v>
      </c>
      <c r="F4" s="20" t="s">
        <v>122</v>
      </c>
      <c r="G4" s="20" t="s">
        <v>177</v>
      </c>
      <c r="H4" s="20" t="s">
        <v>178</v>
      </c>
    </row>
    <row r="5" spans="1:29" x14ac:dyDescent="0.25">
      <c r="A5" s="46" t="s">
        <v>179</v>
      </c>
      <c r="B5" s="33" t="s">
        <v>38</v>
      </c>
      <c r="C5" s="47">
        <v>1800</v>
      </c>
      <c r="D5" s="61">
        <v>0.19</v>
      </c>
      <c r="E5" s="47">
        <v>150</v>
      </c>
      <c r="F5" s="58">
        <v>45962</v>
      </c>
      <c r="G5" s="59">
        <f>IFERROR(ROUNDUP(NPER(D5/12,-E5,C5),0),"Revisar pago")</f>
        <v>14</v>
      </c>
      <c r="H5" s="40">
        <f>IFERROR(ROUND(G5*E5-C5,2),0)</f>
        <v>300</v>
      </c>
    </row>
    <row r="6" spans="1:29" x14ac:dyDescent="0.25">
      <c r="A6" s="49" t="s">
        <v>50</v>
      </c>
      <c r="B6" s="33" t="s">
        <v>50</v>
      </c>
      <c r="C6" s="47">
        <v>7200</v>
      </c>
      <c r="D6" s="61">
        <v>6.5000000000000002E-2</v>
      </c>
      <c r="E6" s="47">
        <v>220</v>
      </c>
      <c r="F6" s="58">
        <v>45413</v>
      </c>
      <c r="G6" s="60">
        <f>IFERROR(ROUNDUP(NPER(D6/12,-E6,C6),0),"Revisar pago")</f>
        <v>37</v>
      </c>
      <c r="H6" s="43">
        <f>IFERROR(ROUND(G6*E6-C6,2),0)</f>
        <v>940</v>
      </c>
    </row>
    <row r="7" spans="1:29" x14ac:dyDescent="0.25">
      <c r="A7" s="46" t="s">
        <v>180</v>
      </c>
      <c r="B7" s="33" t="s">
        <v>45</v>
      </c>
      <c r="C7" s="47">
        <v>3000</v>
      </c>
      <c r="D7" s="61">
        <v>0.04</v>
      </c>
      <c r="E7" s="47">
        <v>100</v>
      </c>
      <c r="F7" s="58">
        <v>45170</v>
      </c>
      <c r="G7" s="59">
        <f>IFERROR(ROUNDUP(NPER(D7/12,-E7,C7),0),"Revisar pago")</f>
        <v>32</v>
      </c>
      <c r="H7" s="40">
        <f>IFERROR(ROUND(G7*E7-C7,2),0)</f>
        <v>200</v>
      </c>
    </row>
    <row r="8" spans="1:29" x14ac:dyDescent="0.25">
      <c r="A8" s="51" t="s">
        <v>170</v>
      </c>
      <c r="B8" s="51"/>
      <c r="C8" s="52">
        <f>SUM(C5:C7)</f>
        <v>12000</v>
      </c>
      <c r="D8" s="51"/>
      <c r="E8" s="52">
        <f>SUM(E5:E7)</f>
        <v>470</v>
      </c>
      <c r="F8" s="51"/>
      <c r="G8" s="51"/>
      <c r="H8" s="52">
        <f>SUM(H5:H7)</f>
        <v>1440</v>
      </c>
    </row>
    <row r="10" spans="1:29" x14ac:dyDescent="0.25">
      <c r="A10" s="69" t="s">
        <v>181</v>
      </c>
      <c r="B10" s="69"/>
      <c r="C10" s="69"/>
      <c r="D10" s="69"/>
      <c r="E10" s="69"/>
      <c r="F10" s="69"/>
      <c r="G10" s="69"/>
      <c r="H10" s="69"/>
    </row>
  </sheetData>
  <mergeCells count="3">
    <mergeCell ref="A1:H1"/>
    <mergeCell ref="A2:H2"/>
    <mergeCell ref="A10:H10"/>
  </mergeCell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600-000000000000}">
          <x14:formula1>
            <xm:f>Listas!$M$2:$M$6</xm:f>
          </x14:formula1>
          <x14:formula2>
            <xm:f>0</xm:f>
          </x14:formula2>
          <xm:sqref>B5:B7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B3B5F"/>
    <pageSetUpPr fitToPage="1"/>
  </sheetPr>
  <dimension ref="A1:AC29"/>
  <sheetViews>
    <sheetView showGridLines="0" zoomScaleNormal="100" workbookViewId="0">
      <selection sqref="A1:D1"/>
    </sheetView>
  </sheetViews>
  <sheetFormatPr baseColWidth="10" defaultColWidth="8.7109375" defaultRowHeight="15" x14ac:dyDescent="0.25"/>
  <cols>
    <col min="1" max="1" width="26" customWidth="1"/>
    <col min="2" max="2" width="18" customWidth="1"/>
    <col min="3" max="4" width="3" customWidth="1"/>
  </cols>
  <sheetData>
    <row r="1" spans="1:29" ht="25.5" customHeight="1" x14ac:dyDescent="0.25">
      <c r="A1" s="68" t="s">
        <v>182</v>
      </c>
      <c r="B1" s="68"/>
      <c r="C1" s="68"/>
      <c r="D1" s="6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x14ac:dyDescent="0.25">
      <c r="A2" s="13" t="s">
        <v>183</v>
      </c>
      <c r="B2" s="13"/>
      <c r="C2" s="13"/>
      <c r="D2" s="13"/>
    </row>
    <row r="4" spans="1:29" ht="18" customHeight="1" x14ac:dyDescent="0.25">
      <c r="A4" s="12" t="s">
        <v>184</v>
      </c>
      <c r="B4" s="12"/>
    </row>
    <row r="5" spans="1:29" ht="25.5" customHeight="1" x14ac:dyDescent="0.25">
      <c r="A5" s="20" t="s">
        <v>185</v>
      </c>
      <c r="B5" s="20" t="s">
        <v>186</v>
      </c>
    </row>
    <row r="6" spans="1:29" x14ac:dyDescent="0.25">
      <c r="A6" s="49" t="s">
        <v>187</v>
      </c>
      <c r="B6" s="47">
        <v>1450</v>
      </c>
    </row>
    <row r="7" spans="1:29" x14ac:dyDescent="0.25">
      <c r="A7" s="49" t="s">
        <v>188</v>
      </c>
      <c r="B7" s="62">
        <f>'Ahorro y Metas'!D8</f>
        <v>9500</v>
      </c>
    </row>
    <row r="8" spans="1:29" x14ac:dyDescent="0.25">
      <c r="A8" s="49" t="s">
        <v>189</v>
      </c>
      <c r="B8" s="47">
        <v>2100</v>
      </c>
    </row>
    <row r="9" spans="1:29" x14ac:dyDescent="0.25">
      <c r="A9" s="49" t="s">
        <v>190</v>
      </c>
      <c r="B9" s="47">
        <v>9000</v>
      </c>
    </row>
    <row r="10" spans="1:29" x14ac:dyDescent="0.25">
      <c r="A10" s="49" t="s">
        <v>191</v>
      </c>
      <c r="B10" s="47">
        <v>1200</v>
      </c>
    </row>
    <row r="11" spans="1:29" x14ac:dyDescent="0.25">
      <c r="A11" s="51" t="s">
        <v>192</v>
      </c>
      <c r="B11" s="52">
        <f>SUM(B6:B10)</f>
        <v>23250</v>
      </c>
    </row>
    <row r="13" spans="1:29" ht="18" customHeight="1" x14ac:dyDescent="0.25">
      <c r="A13" s="12" t="s">
        <v>193</v>
      </c>
      <c r="B13" s="12"/>
    </row>
    <row r="14" spans="1:29" ht="25.5" customHeight="1" x14ac:dyDescent="0.25">
      <c r="A14" s="20" t="s">
        <v>185</v>
      </c>
      <c r="B14" s="20" t="s">
        <v>186</v>
      </c>
    </row>
    <row r="15" spans="1:29" x14ac:dyDescent="0.25">
      <c r="A15" s="49" t="s">
        <v>38</v>
      </c>
      <c r="B15" s="62">
        <f>Deudas!C5</f>
        <v>1800</v>
      </c>
    </row>
    <row r="16" spans="1:29" x14ac:dyDescent="0.25">
      <c r="A16" s="49" t="s">
        <v>50</v>
      </c>
      <c r="B16" s="62">
        <f>Deudas!C6</f>
        <v>7200</v>
      </c>
    </row>
    <row r="17" spans="1:2" x14ac:dyDescent="0.25">
      <c r="A17" s="49" t="s">
        <v>180</v>
      </c>
      <c r="B17" s="62">
        <f>Deudas!C7</f>
        <v>3000</v>
      </c>
    </row>
    <row r="18" spans="1:2" x14ac:dyDescent="0.25">
      <c r="A18" s="51" t="s">
        <v>194</v>
      </c>
      <c r="B18" s="52">
        <f>SUM(B15:B17)</f>
        <v>12000</v>
      </c>
    </row>
    <row r="20" spans="1:2" ht="16.5" x14ac:dyDescent="0.25">
      <c r="A20" s="63" t="s">
        <v>182</v>
      </c>
      <c r="B20" s="64">
        <f>B11-B18</f>
        <v>11250</v>
      </c>
    </row>
    <row r="22" spans="1:2" ht="18" customHeight="1" x14ac:dyDescent="0.25">
      <c r="A22" s="67" t="s">
        <v>195</v>
      </c>
      <c r="B22" s="67"/>
    </row>
    <row r="23" spans="1:2" ht="25.5" customHeight="1" x14ac:dyDescent="0.25">
      <c r="A23" s="20" t="s">
        <v>21</v>
      </c>
      <c r="B23" s="20" t="s">
        <v>196</v>
      </c>
    </row>
    <row r="24" spans="1:2" x14ac:dyDescent="0.25">
      <c r="A24" s="49" t="s">
        <v>197</v>
      </c>
      <c r="B24" s="47">
        <v>9800</v>
      </c>
    </row>
    <row r="25" spans="1:2" x14ac:dyDescent="0.25">
      <c r="A25" s="49" t="s">
        <v>198</v>
      </c>
      <c r="B25" s="47">
        <v>10100</v>
      </c>
    </row>
    <row r="26" spans="1:2" x14ac:dyDescent="0.25">
      <c r="A26" s="49" t="s">
        <v>199</v>
      </c>
      <c r="B26" s="47">
        <v>10450</v>
      </c>
    </row>
    <row r="27" spans="1:2" x14ac:dyDescent="0.25">
      <c r="A27" s="49" t="s">
        <v>200</v>
      </c>
      <c r="B27" s="47">
        <v>10800</v>
      </c>
    </row>
    <row r="28" spans="1:2" x14ac:dyDescent="0.25">
      <c r="A28" s="49" t="s">
        <v>201</v>
      </c>
      <c r="B28" s="47">
        <v>11050</v>
      </c>
    </row>
    <row r="29" spans="1:2" x14ac:dyDescent="0.25">
      <c r="A29" s="49" t="s">
        <v>202</v>
      </c>
      <c r="B29" s="65">
        <f>B20</f>
        <v>11250</v>
      </c>
    </row>
  </sheetData>
  <mergeCells count="5">
    <mergeCell ref="A1:D1"/>
    <mergeCell ref="A2:D2"/>
    <mergeCell ref="A4:B4"/>
    <mergeCell ref="A13:B13"/>
    <mergeCell ref="A22:B22"/>
  </mergeCells>
  <pageMargins left="0.4" right="0.4" top="0.5" bottom="0.5" header="0.511811023622047" footer="0.511811023622047"/>
  <pageSetup fitToHeight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3B5F"/>
    <pageSetUpPr fitToPage="1"/>
  </sheetPr>
  <dimension ref="A1:AC22"/>
  <sheetViews>
    <sheetView showGridLines="0" zoomScaleNormal="100" workbookViewId="0">
      <selection sqref="A1:F1"/>
    </sheetView>
  </sheetViews>
  <sheetFormatPr baseColWidth="10" defaultColWidth="8.7109375" defaultRowHeight="15" x14ac:dyDescent="0.25"/>
  <cols>
    <col min="1" max="2" width="14" customWidth="1"/>
    <col min="3" max="3" width="18" customWidth="1"/>
    <col min="4" max="7" width="14" customWidth="1"/>
  </cols>
  <sheetData>
    <row r="1" spans="1:29" ht="31.5" customHeight="1" x14ac:dyDescent="0.25">
      <c r="A1" s="14" t="s">
        <v>0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15.75" customHeight="1" x14ac:dyDescent="0.25">
      <c r="A2" s="13" t="s">
        <v>1</v>
      </c>
      <c r="B2" s="13"/>
      <c r="C2" s="13"/>
      <c r="D2" s="13"/>
      <c r="E2" s="13"/>
      <c r="F2" s="13"/>
    </row>
    <row r="4" spans="1:29" ht="18" customHeight="1" x14ac:dyDescent="0.25">
      <c r="A4" s="12" t="s">
        <v>2</v>
      </c>
      <c r="B4" s="12"/>
      <c r="C4" s="12"/>
      <c r="D4" s="12"/>
      <c r="E4" s="12"/>
      <c r="F4" s="12"/>
    </row>
    <row r="5" spans="1:29" ht="31.5" customHeight="1" x14ac:dyDescent="0.25">
      <c r="A5" s="11" t="s">
        <v>3</v>
      </c>
      <c r="B5" s="11"/>
      <c r="C5" s="10" t="s">
        <v>4</v>
      </c>
      <c r="D5" s="10"/>
      <c r="E5" s="10"/>
      <c r="F5" s="10"/>
    </row>
    <row r="7" spans="1:29" ht="31.5" customHeight="1" x14ac:dyDescent="0.25">
      <c r="A7" s="11" t="s">
        <v>5</v>
      </c>
      <c r="B7" s="11"/>
      <c r="C7" s="10" t="s">
        <v>6</v>
      </c>
      <c r="D7" s="10"/>
      <c r="E7" s="10"/>
      <c r="F7" s="10"/>
    </row>
    <row r="9" spans="1:29" ht="31.5" customHeight="1" x14ac:dyDescent="0.25">
      <c r="A9" s="11" t="s">
        <v>7</v>
      </c>
      <c r="B9" s="11"/>
      <c r="C9" s="10" t="s">
        <v>8</v>
      </c>
      <c r="D9" s="10"/>
      <c r="E9" s="10"/>
      <c r="F9" s="10"/>
    </row>
    <row r="11" spans="1:29" ht="31.5" customHeight="1" x14ac:dyDescent="0.25">
      <c r="A11" s="11" t="s">
        <v>9</v>
      </c>
      <c r="B11" s="11"/>
      <c r="C11" s="10" t="s">
        <v>10</v>
      </c>
      <c r="D11" s="10"/>
      <c r="E11" s="10"/>
      <c r="F11" s="10"/>
    </row>
    <row r="13" spans="1:29" ht="31.5" customHeight="1" x14ac:dyDescent="0.25">
      <c r="A13" s="11" t="s">
        <v>11</v>
      </c>
      <c r="B13" s="11"/>
      <c r="C13" s="10" t="s">
        <v>12</v>
      </c>
      <c r="D13" s="10"/>
      <c r="E13" s="10"/>
      <c r="F13" s="10"/>
    </row>
    <row r="15" spans="1:29" ht="31.5" customHeight="1" x14ac:dyDescent="0.25">
      <c r="A15" s="11" t="s">
        <v>13</v>
      </c>
      <c r="B15" s="11"/>
      <c r="C15" s="10" t="s">
        <v>14</v>
      </c>
      <c r="D15" s="10"/>
      <c r="E15" s="10"/>
      <c r="F15" s="10"/>
    </row>
    <row r="18" spans="1:7" ht="18" customHeight="1" x14ac:dyDescent="0.25">
      <c r="A18" s="9" t="s">
        <v>15</v>
      </c>
      <c r="B18" s="9"/>
      <c r="C18" s="9"/>
      <c r="D18" s="9"/>
      <c r="E18" s="9"/>
      <c r="F18" s="9"/>
    </row>
    <row r="19" spans="1:7" ht="25.5" customHeight="1" x14ac:dyDescent="0.25">
      <c r="A19" s="16"/>
      <c r="B19" s="8" t="s">
        <v>16</v>
      </c>
      <c r="C19" s="8"/>
      <c r="D19" s="7" t="s">
        <v>17</v>
      </c>
      <c r="E19" s="7"/>
      <c r="F19" s="7"/>
      <c r="G19" s="7"/>
    </row>
    <row r="20" spans="1:7" ht="25.5" customHeight="1" x14ac:dyDescent="0.25">
      <c r="A20" s="17"/>
      <c r="B20" s="8" t="s">
        <v>18</v>
      </c>
      <c r="C20" s="8"/>
      <c r="D20" s="7" t="s">
        <v>19</v>
      </c>
      <c r="E20" s="7"/>
      <c r="F20" s="7"/>
      <c r="G20" s="7"/>
    </row>
    <row r="22" spans="1:7" ht="15.75" customHeight="1" x14ac:dyDescent="0.25">
      <c r="A22" s="6" t="s">
        <v>20</v>
      </c>
      <c r="B22" s="6"/>
      <c r="C22" s="6"/>
      <c r="D22" s="6"/>
      <c r="E22" s="6"/>
      <c r="F22" s="6"/>
      <c r="G22" s="6"/>
    </row>
  </sheetData>
  <mergeCells count="21">
    <mergeCell ref="B19:C19"/>
    <mergeCell ref="D19:G19"/>
    <mergeCell ref="B20:C20"/>
    <mergeCell ref="D20:G20"/>
    <mergeCell ref="A22:G22"/>
    <mergeCell ref="A13:B13"/>
    <mergeCell ref="C13:F13"/>
    <mergeCell ref="A15:B15"/>
    <mergeCell ref="C15:F15"/>
    <mergeCell ref="A18:F18"/>
    <mergeCell ref="A7:B7"/>
    <mergeCell ref="C7:F7"/>
    <mergeCell ref="A9:B9"/>
    <mergeCell ref="C9:F9"/>
    <mergeCell ref="A11:B11"/>
    <mergeCell ref="C11:F11"/>
    <mergeCell ref="A1:F1"/>
    <mergeCell ref="A2:F2"/>
    <mergeCell ref="A4:F4"/>
    <mergeCell ref="A5:B5"/>
    <mergeCell ref="C5:F5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Resumen</vt:lpstr>
      <vt:lpstr>Listas</vt:lpstr>
      <vt:lpstr>Transacciones</vt:lpstr>
      <vt:lpstr>Presupuesto</vt:lpstr>
      <vt:lpstr>Ahorro y Metas</vt:lpstr>
      <vt:lpstr>Deudas</vt:lpstr>
      <vt:lpstr>Patrimonio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2026-08-24T10:31:10Z</dcterms:created>
  <dcterms:modified xsi:type="dcterms:W3CDTF">2026-08-25T05:31:31Z</dcterms:modified>
  <dc:language>en-US</dc:language>
</cp:coreProperties>
</file>