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Factureo\Generador\"/>
    </mc:Choice>
  </mc:AlternateContent>
  <xr:revisionPtr revIDLastSave="0" documentId="13_ncr:1_{388A8320-E1CD-42E7-B134-349F764AE055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Portada" sheetId="1" r:id="rId1"/>
    <sheet name="Activos" sheetId="2" r:id="rId2"/>
    <sheet name="Plan Preventivo" sheetId="3" r:id="rId3"/>
    <sheet name="Registro" sheetId="4" r:id="rId4"/>
    <sheet name="Panel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8" i="5" l="1"/>
  <c r="B108" i="5"/>
  <c r="G108" i="5" s="1"/>
  <c r="C107" i="5"/>
  <c r="B107" i="5"/>
  <c r="G107" i="5" s="1"/>
  <c r="C106" i="5"/>
  <c r="B106" i="5"/>
  <c r="G106" i="5" s="1"/>
  <c r="E105" i="5"/>
  <c r="C105" i="5"/>
  <c r="B105" i="5"/>
  <c r="D105" i="5" s="1"/>
  <c r="F104" i="5"/>
  <c r="D104" i="5"/>
  <c r="C104" i="5"/>
  <c r="B104" i="5"/>
  <c r="G104" i="5" s="1"/>
  <c r="D103" i="5"/>
  <c r="C103" i="5"/>
  <c r="B103" i="5"/>
  <c r="G103" i="5" s="1"/>
  <c r="G102" i="5"/>
  <c r="F102" i="5"/>
  <c r="C102" i="5"/>
  <c r="B102" i="5"/>
  <c r="E102" i="5" s="1"/>
  <c r="C101" i="5"/>
  <c r="B101" i="5"/>
  <c r="D101" i="5" s="1"/>
  <c r="C100" i="5"/>
  <c r="B100" i="5"/>
  <c r="G100" i="5" s="1"/>
  <c r="G99" i="5"/>
  <c r="F99" i="5"/>
  <c r="E99" i="5"/>
  <c r="D99" i="5"/>
  <c r="C99" i="5"/>
  <c r="B99" i="5"/>
  <c r="C98" i="5"/>
  <c r="B98" i="5"/>
  <c r="G98" i="5" s="1"/>
  <c r="F97" i="5"/>
  <c r="E97" i="5"/>
  <c r="D97" i="5"/>
  <c r="C97" i="5"/>
  <c r="B97" i="5"/>
  <c r="G97" i="5" s="1"/>
  <c r="C92" i="5"/>
  <c r="C91" i="5"/>
  <c r="C90" i="5"/>
  <c r="C89" i="5"/>
  <c r="C86" i="5"/>
  <c r="C82" i="5"/>
  <c r="C71" i="5"/>
  <c r="C69" i="5"/>
  <c r="E18" i="5" s="1"/>
  <c r="C67" i="5"/>
  <c r="D10" i="5" s="1"/>
  <c r="C66" i="5"/>
  <c r="B10" i="5" s="1"/>
  <c r="C65" i="5"/>
  <c r="E16" i="5" s="1"/>
  <c r="C64" i="5"/>
  <c r="C76" i="5" s="1"/>
  <c r="C63" i="5"/>
  <c r="E14" i="5" s="1"/>
  <c r="C62" i="5"/>
  <c r="F6" i="5" s="1"/>
  <c r="C18" i="1" s="1"/>
  <c r="C61" i="5"/>
  <c r="H6" i="5" s="1"/>
  <c r="C19" i="1" s="1"/>
  <c r="B6" i="5"/>
  <c r="C16" i="1" s="1"/>
  <c r="K31" i="4"/>
  <c r="J31" i="4"/>
  <c r="I31" i="4"/>
  <c r="H31" i="4"/>
  <c r="L30" i="4"/>
  <c r="D30" i="4"/>
  <c r="L29" i="4"/>
  <c r="D29" i="4"/>
  <c r="L28" i="4"/>
  <c r="D28" i="4"/>
  <c r="L27" i="4"/>
  <c r="D27" i="4"/>
  <c r="L26" i="4"/>
  <c r="D26" i="4"/>
  <c r="L25" i="4"/>
  <c r="D25" i="4"/>
  <c r="L24" i="4"/>
  <c r="D24" i="4"/>
  <c r="L23" i="4"/>
  <c r="C88" i="5" s="1"/>
  <c r="D23" i="4"/>
  <c r="L22" i="4"/>
  <c r="D22" i="4"/>
  <c r="L21" i="4"/>
  <c r="C87" i="5" s="1"/>
  <c r="D21" i="4"/>
  <c r="L20" i="4"/>
  <c r="D20" i="4"/>
  <c r="L19" i="4"/>
  <c r="D19" i="4"/>
  <c r="L18" i="4"/>
  <c r="D18" i="4"/>
  <c r="L17" i="4"/>
  <c r="D17" i="4"/>
  <c r="L16" i="4"/>
  <c r="D16" i="4"/>
  <c r="L15" i="4"/>
  <c r="C85" i="5" s="1"/>
  <c r="D15" i="4"/>
  <c r="L14" i="4"/>
  <c r="D14" i="4"/>
  <c r="L13" i="4"/>
  <c r="C84" i="5" s="1"/>
  <c r="D13" i="4"/>
  <c r="L12" i="4"/>
  <c r="L31" i="4" s="1"/>
  <c r="D12" i="4"/>
  <c r="L11" i="4"/>
  <c r="D11" i="4"/>
  <c r="L10" i="4"/>
  <c r="C83" i="5" s="1"/>
  <c r="D10" i="4"/>
  <c r="L9" i="4"/>
  <c r="D9" i="4"/>
  <c r="L8" i="4"/>
  <c r="D8" i="4"/>
  <c r="L7" i="4"/>
  <c r="D7" i="4"/>
  <c r="L6" i="4"/>
  <c r="D6" i="4"/>
  <c r="L5" i="4"/>
  <c r="C81" i="5" s="1"/>
  <c r="D5" i="4"/>
  <c r="E18" i="3"/>
  <c r="H18" i="3" s="1"/>
  <c r="I18" i="3" s="1"/>
  <c r="J18" i="3" s="1"/>
  <c r="B18" i="3"/>
  <c r="H17" i="3"/>
  <c r="I17" i="3" s="1"/>
  <c r="J17" i="3" s="1"/>
  <c r="E17" i="3"/>
  <c r="B17" i="3"/>
  <c r="E16" i="3"/>
  <c r="H16" i="3" s="1"/>
  <c r="I16" i="3" s="1"/>
  <c r="J16" i="3" s="1"/>
  <c r="B16" i="3"/>
  <c r="E15" i="3"/>
  <c r="H15" i="3" s="1"/>
  <c r="I15" i="3" s="1"/>
  <c r="J15" i="3" s="1"/>
  <c r="B15" i="3"/>
  <c r="E14" i="3"/>
  <c r="H14" i="3" s="1"/>
  <c r="I14" i="3" s="1"/>
  <c r="J14" i="3" s="1"/>
  <c r="B14" i="3"/>
  <c r="H13" i="3"/>
  <c r="I13" i="3" s="1"/>
  <c r="J13" i="3" s="1"/>
  <c r="E13" i="3"/>
  <c r="B13" i="3"/>
  <c r="E12" i="3"/>
  <c r="H12" i="3" s="1"/>
  <c r="I12" i="3" s="1"/>
  <c r="J12" i="3" s="1"/>
  <c r="B12" i="3"/>
  <c r="E11" i="3"/>
  <c r="H11" i="3" s="1"/>
  <c r="I11" i="3" s="1"/>
  <c r="J11" i="3" s="1"/>
  <c r="B11" i="3"/>
  <c r="E10" i="3"/>
  <c r="H10" i="3" s="1"/>
  <c r="I10" i="3" s="1"/>
  <c r="J10" i="3" s="1"/>
  <c r="B10" i="3"/>
  <c r="H9" i="3"/>
  <c r="I9" i="3" s="1"/>
  <c r="J9" i="3" s="1"/>
  <c r="E9" i="3"/>
  <c r="B9" i="3"/>
  <c r="E8" i="3"/>
  <c r="H8" i="3" s="1"/>
  <c r="I8" i="3" s="1"/>
  <c r="J8" i="3" s="1"/>
  <c r="B8" i="3"/>
  <c r="E7" i="3"/>
  <c r="H7" i="3" s="1"/>
  <c r="I7" i="3" s="1"/>
  <c r="J7" i="3" s="1"/>
  <c r="B7" i="3"/>
  <c r="E6" i="3"/>
  <c r="H6" i="3" s="1"/>
  <c r="I6" i="3" s="1"/>
  <c r="J6" i="3" s="1"/>
  <c r="B6" i="3"/>
  <c r="H5" i="3"/>
  <c r="I5" i="3" s="1"/>
  <c r="J5" i="3" s="1"/>
  <c r="C72" i="5" s="1"/>
  <c r="E5" i="3"/>
  <c r="B5" i="3"/>
  <c r="H10" i="5" l="1"/>
  <c r="E19" i="5"/>
  <c r="D102" i="5"/>
  <c r="F105" i="5"/>
  <c r="G105" i="5"/>
  <c r="D106" i="5"/>
  <c r="E106" i="5"/>
  <c r="F106" i="5"/>
  <c r="D6" i="5"/>
  <c r="C17" i="1" s="1"/>
  <c r="C68" i="5"/>
  <c r="E103" i="5"/>
  <c r="D100" i="5"/>
  <c r="F103" i="5"/>
  <c r="E100" i="5"/>
  <c r="F100" i="5"/>
  <c r="D107" i="5"/>
  <c r="E107" i="5"/>
  <c r="F107" i="5"/>
  <c r="E104" i="5"/>
  <c r="E15" i="5"/>
  <c r="F76" i="5"/>
  <c r="E101" i="5"/>
  <c r="C75" i="5"/>
  <c r="D98" i="5"/>
  <c r="F101" i="5"/>
  <c r="D108" i="5"/>
  <c r="E98" i="5"/>
  <c r="G101" i="5"/>
  <c r="E108" i="5"/>
  <c r="C21" i="1"/>
  <c r="F98" i="5"/>
  <c r="F108" i="5"/>
  <c r="F10" i="5" l="1"/>
  <c r="C20" i="1" s="1"/>
  <c r="C70" i="5"/>
  <c r="E17" i="5" l="1"/>
  <c r="F75" i="5"/>
</calcChain>
</file>

<file path=xl/sharedStrings.xml><?xml version="1.0" encoding="utf-8"?>
<sst xmlns="http://schemas.openxmlformats.org/spreadsheetml/2006/main" count="443" uniqueCount="245">
  <si>
    <t>CONTROL DE MANTENIMIENTO</t>
  </si>
  <si>
    <t>DATOS DE LA EMPRESA</t>
  </si>
  <si>
    <t>Empresa</t>
  </si>
  <si>
    <t>Talleres Mecánicos ArcoNorte, S.L.</t>
  </si>
  <si>
    <t>NIF</t>
  </si>
  <si>
    <t>B-50123456</t>
  </si>
  <si>
    <t>Dirección</t>
  </si>
  <si>
    <t>Pol. Ind. Malpica, nave 14 · 50057 Zaragoza</t>
  </si>
  <si>
    <t>Sector</t>
  </si>
  <si>
    <t>Mecanizado de precisión y calderería</t>
  </si>
  <si>
    <t>Responsable de mantenimiento</t>
  </si>
  <si>
    <t>Jorge Marín Salas</t>
  </si>
  <si>
    <t>Ejercicio</t>
  </si>
  <si>
    <t>Fecha de referencia</t>
  </si>
  <si>
    <t>◄ editable — escriba =HOY() para usar la fecha actual</t>
  </si>
  <si>
    <t>RESUMEN DEL EJERCICIO</t>
  </si>
  <si>
    <t>Nº de activos</t>
  </si>
  <si>
    <t>Órdenes de trabajo</t>
  </si>
  <si>
    <t>% mantenimiento preventivo</t>
  </si>
  <si>
    <t>Disponibilidad media</t>
  </si>
  <si>
    <t>Coste total de mantenimiento</t>
  </si>
  <si>
    <t>Tareas preventivas vencidas</t>
  </si>
  <si>
    <t>LEYENDA DE COLORES</t>
  </si>
  <si>
    <t>Aa</t>
  </si>
  <si>
    <t>Celda editable: introduzca aquí sus datos</t>
  </si>
  <si>
    <t>Resultado calculado por fórmula (no modificar)</t>
  </si>
  <si>
    <t>Enlace a otra hoja (no modificar)</t>
  </si>
  <si>
    <t>Estado ‘Vencido’ (semáforo del plan)</t>
  </si>
  <si>
    <t>Estado ‘Próximo’ (semáforo del plan)</t>
  </si>
  <si>
    <t>Estado ‘Al día’ (semáforo del plan)</t>
  </si>
  <si>
    <t>GUÍA DE LA PLANTILLA</t>
  </si>
  <si>
    <t>Activos</t>
  </si>
  <si>
    <t>Inventario de equipos: código, ubicación, criticidad y horas de uso anuales. Es la base del resto de hojas.</t>
  </si>
  <si>
    <t>Plan Preventivo</t>
  </si>
  <si>
    <t>Tareas periódicas por equipo. Calcula la próxima fecha y avisa con un semáforo (Vencido / Próximo / Al día).</t>
  </si>
  <si>
    <t>Registro</t>
  </si>
  <si>
    <t>Bitácora de órdenes de trabajo (preventivas y correctivas) con parada, coste de repuestos y de mano de obra.</t>
  </si>
  <si>
    <t>Panel</t>
  </si>
  <si>
    <t>Cuadro de mando: KPIs (MTBF, MTTR, disponibilidad, coste) y gráficos calculados a partir del Registro.</t>
  </si>
  <si>
    <t>Nota: los datos corresponden a una empresa ficticia y sirven solo de ejemplo. Sustituya el contenido de las celdas ámbar por su propia información; el resto de celdas se recalcula automáticamente.</t>
  </si>
  <si>
    <t>INVENTARIO DE ACTIVOS</t>
  </si>
  <si>
    <t>Código</t>
  </si>
  <si>
    <t>Equipo</t>
  </si>
  <si>
    <t>Ubicación / Sección</t>
  </si>
  <si>
    <t>Fabricante y modelo</t>
  </si>
  <si>
    <t>Nº de serie</t>
  </si>
  <si>
    <t>Fecha de alta</t>
  </si>
  <si>
    <t>Criticidad</t>
  </si>
  <si>
    <t>Horas uso/año</t>
  </si>
  <si>
    <t>Estado</t>
  </si>
  <si>
    <t>TOR-01</t>
  </si>
  <si>
    <t>Torno CNC</t>
  </si>
  <si>
    <t>Nave A · Mecanizado</t>
  </si>
  <si>
    <t>Haas ST-20</t>
  </si>
  <si>
    <t>SN-TC2019-0455</t>
  </si>
  <si>
    <t>Alta</t>
  </si>
  <si>
    <t>Operativo</t>
  </si>
  <si>
    <t>FRE-01</t>
  </si>
  <si>
    <t>Fresadora CNC</t>
  </si>
  <si>
    <t>DMG Mori CMX 600</t>
  </si>
  <si>
    <t>SN-FR2020-1180</t>
  </si>
  <si>
    <t>CEN-01</t>
  </si>
  <si>
    <t>Centro de mecanizado</t>
  </si>
  <si>
    <t>Mazak VCN-530</t>
  </si>
  <si>
    <t>SN-CM2021-0233</t>
  </si>
  <si>
    <t>REC-01</t>
  </si>
  <si>
    <t>Rectificadora</t>
  </si>
  <si>
    <t>Nave A · Acabado</t>
  </si>
  <si>
    <t>Jung J630</t>
  </si>
  <si>
    <t>SN-RE2018-0912</t>
  </si>
  <si>
    <t>Media</t>
  </si>
  <si>
    <t>SIE-01</t>
  </si>
  <si>
    <t>Sierra de cinta</t>
  </si>
  <si>
    <t>Nave B · Corte</t>
  </si>
  <si>
    <t>Behringer HBP263</t>
  </si>
  <si>
    <t>SN-SI2017-0771</t>
  </si>
  <si>
    <t>PRE-01</t>
  </si>
  <si>
    <t>Prensa hidráulica</t>
  </si>
  <si>
    <t>Nave B · Conformado</t>
  </si>
  <si>
    <t>Loire PH-160</t>
  </si>
  <si>
    <t>SN-PR2016-0344</t>
  </si>
  <si>
    <t>En reparación</t>
  </si>
  <si>
    <t>SOL-01</t>
  </si>
  <si>
    <t>Equipo de soldadura MIG</t>
  </si>
  <si>
    <t>Nave B · Soldadura</t>
  </si>
  <si>
    <t>Fronius TPS 400i</t>
  </si>
  <si>
    <t>SN-SO2021-2050</t>
  </si>
  <si>
    <t>COM-01</t>
  </si>
  <si>
    <t>Compresor de aire</t>
  </si>
  <si>
    <t>Sala técnica</t>
  </si>
  <si>
    <t>Atlas Copco GA-30</t>
  </si>
  <si>
    <t>SN-CO2019-0688</t>
  </si>
  <si>
    <t>PGR-01</t>
  </si>
  <si>
    <t>Puente grúa 5 t</t>
  </si>
  <si>
    <t>Nave A · General</t>
  </si>
  <si>
    <t>ABUS ELV 5000</t>
  </si>
  <si>
    <t>SN-PG2015-0119</t>
  </si>
  <si>
    <t>CAR-01</t>
  </si>
  <si>
    <t>Carretilla elevadora</t>
  </si>
  <si>
    <t>Almacén</t>
  </si>
  <si>
    <t>Linde H25</t>
  </si>
  <si>
    <t>SN-CA2020-1502</t>
  </si>
  <si>
    <t>HOR-01</t>
  </si>
  <si>
    <t>Horno tratamiento térmico</t>
  </si>
  <si>
    <t>Nave B · Tratamiento</t>
  </si>
  <si>
    <t>Nabertherm N-300</t>
  </si>
  <si>
    <t>SN-HO2018-0420</t>
  </si>
  <si>
    <t>Baja</t>
  </si>
  <si>
    <t>COM-02</t>
  </si>
  <si>
    <t>Compresor de reserva</t>
  </si>
  <si>
    <t>Atlas Copco GA-15</t>
  </si>
  <si>
    <t>SN-CO2022-0301</t>
  </si>
  <si>
    <t>Todas las celdas de esta hoja son editables. La ‘Criticidad’ y el ‘Estado’ se eligen de una lista.</t>
  </si>
  <si>
    <t>PLAN DE MANTENIMIENTO PREVENTIVO</t>
  </si>
  <si>
    <t>Fecha de referencia del semáforo: se toma de la Portada (celda C13)</t>
  </si>
  <si>
    <t>Tarea de mantenimiento</t>
  </si>
  <si>
    <t>Frecuencia</t>
  </si>
  <si>
    <t>Frec.(días)</t>
  </si>
  <si>
    <t>Responsable</t>
  </si>
  <si>
    <t>Última realización</t>
  </si>
  <si>
    <t>Próxima</t>
  </si>
  <si>
    <t>Días restantes</t>
  </si>
  <si>
    <t>Engrase de guías y husillos</t>
  </si>
  <si>
    <t>Mensual</t>
  </si>
  <si>
    <t>Jorge Marín</t>
  </si>
  <si>
    <t>Cambio de refrigerante y limpieza depósito</t>
  </si>
  <si>
    <t>Trimestral</t>
  </si>
  <si>
    <t>Revisión de husillo y correas</t>
  </si>
  <si>
    <t>Calibración de ejes y palpador</t>
  </si>
  <si>
    <t>Semestral</t>
  </si>
  <si>
    <t>Serv. Técnico Ext.</t>
  </si>
  <si>
    <t>Limpieza de virutas y filtros</t>
  </si>
  <si>
    <t>Laura Ferrer</t>
  </si>
  <si>
    <t>Verificación de muela y equilibrado</t>
  </si>
  <si>
    <t>Cambio de hoja y tensado</t>
  </si>
  <si>
    <t>Antonio Ruiz</t>
  </si>
  <si>
    <t>Inspección de circuito hidráulico</t>
  </si>
  <si>
    <t>Revisión de antorcha y gas</t>
  </si>
  <si>
    <t>Cambio de aceite y filtros</t>
  </si>
  <si>
    <t>Purga de condensados y revisión correas</t>
  </si>
  <si>
    <t>Inspección de cables y frenos</t>
  </si>
  <si>
    <t>Anual</t>
  </si>
  <si>
    <t>Revisión de batería y frenos</t>
  </si>
  <si>
    <t>Calibración de termopares</t>
  </si>
  <si>
    <t>Edite las celdas ámbar. ‘Próxima’, ‘Días restantes’ y ‘Estado’ se calculan solos según la fecha de referencia de la Portada.</t>
  </si>
  <si>
    <t>REGISTRO DE ÓRDENES DE TRABAJO (BITÁCORA)</t>
  </si>
  <si>
    <t>Preventivo = planificado · Correctivo = avería / fallo imprevisto</t>
  </si>
  <si>
    <t>Nº OT</t>
  </si>
  <si>
    <t>Fecha</t>
  </si>
  <si>
    <t>Cód.</t>
  </si>
  <si>
    <t>Tipo</t>
  </si>
  <si>
    <t>Descripción de la intervención</t>
  </si>
  <si>
    <t>Técnico</t>
  </si>
  <si>
    <t>Parada (h)</t>
  </si>
  <si>
    <t>Reparac. (h)</t>
  </si>
  <si>
    <t>Repuestos (€)</t>
  </si>
  <si>
    <t>Mano obra (€)</t>
  </si>
  <si>
    <t>Coste total (€)</t>
  </si>
  <si>
    <t>OT-2025-001</t>
  </si>
  <si>
    <t>Correctivo</t>
  </si>
  <si>
    <t>Fuga de aire en válvula de descarga</t>
  </si>
  <si>
    <t>Cerrada</t>
  </si>
  <si>
    <t>OT-2025-002</t>
  </si>
  <si>
    <t>Preventivo</t>
  </si>
  <si>
    <t>OT-2025-003</t>
  </si>
  <si>
    <t>Rotura de hoja de sierra</t>
  </si>
  <si>
    <t>OT-2025-004</t>
  </si>
  <si>
    <t>OT-2025-005</t>
  </si>
  <si>
    <t>OT-2025-006</t>
  </si>
  <si>
    <t>Pérdida de presión en cilindro principal</t>
  </si>
  <si>
    <t>OT-2025-007</t>
  </si>
  <si>
    <t>OT-2025-008</t>
  </si>
  <si>
    <t>OT-2025-009</t>
  </si>
  <si>
    <t>OT-2025-010</t>
  </si>
  <si>
    <t>Fallo en alimentador de hilo</t>
  </si>
  <si>
    <t>OT-2025-011</t>
  </si>
  <si>
    <t>Alarma de sobrecarga en eje X</t>
  </si>
  <si>
    <t>OT-2025-012</t>
  </si>
  <si>
    <t>OT-2025-013</t>
  </si>
  <si>
    <t>Limpieza de cámara y revisión resistencias</t>
  </si>
  <si>
    <t>OT-2025-014</t>
  </si>
  <si>
    <t>Inspección de cables y engrase</t>
  </si>
  <si>
    <t>OT-2025-015</t>
  </si>
  <si>
    <t>Vibración anómala en husillo</t>
  </si>
  <si>
    <t>OT-2025-016</t>
  </si>
  <si>
    <t>OT-2025-017</t>
  </si>
  <si>
    <t>OT-2025-018</t>
  </si>
  <si>
    <t>OT-2025-019</t>
  </si>
  <si>
    <t>Desgaste prematuro de muela</t>
  </si>
  <si>
    <t>OT-2025-020</t>
  </si>
  <si>
    <t>Pinchazo en rueda delantera</t>
  </si>
  <si>
    <t>OT-2025-021</t>
  </si>
  <si>
    <t>OT-2025-022</t>
  </si>
  <si>
    <t>Puesta en marcha y revisión general</t>
  </si>
  <si>
    <t>OT-2025-023</t>
  </si>
  <si>
    <t>OT-2025-024</t>
  </si>
  <si>
    <t>Sustitución de juntas del grupo hidráulico</t>
  </si>
  <si>
    <t>En curso</t>
  </si>
  <si>
    <t>OT-2025-025</t>
  </si>
  <si>
    <t>OT-2025-026</t>
  </si>
  <si>
    <t>TOTALES</t>
  </si>
  <si>
    <t>PANEL DE CONTROL DE MANTENIMIENTO</t>
  </si>
  <si>
    <t>% Preventivo</t>
  </si>
  <si>
    <t>Disponibilidad</t>
  </si>
  <si>
    <t>MTBF (h entre fallos)</t>
  </si>
  <si>
    <t>MTTR (h por reparación)</t>
  </si>
  <si>
    <t>Coste total</t>
  </si>
  <si>
    <t>Cumplimiento del plan</t>
  </si>
  <si>
    <t>INDICADORES CLAVE</t>
  </si>
  <si>
    <t>Órdenes preventivas</t>
  </si>
  <si>
    <t>Órdenes correctivas (fallos)</t>
  </si>
  <si>
    <t>Horas de parada totales</t>
  </si>
  <si>
    <t>Coste preventivo</t>
  </si>
  <si>
    <t>Coste correctivo</t>
  </si>
  <si>
    <t>Tareas del plan vencidas</t>
  </si>
  <si>
    <t>Lectura: aunque el 65% de las órdenes son preventivas, las averías concentran la mayor parte del coste y de las horas de parada. La prensa hidráulica (PRE-01) es el activo más crítico del periodo.</t>
  </si>
  <si>
    <t>DATOS DE ORIGEN Y CÁLCULOS (base de los KPIs y gráficos)</t>
  </si>
  <si>
    <t>Horas operativas al año (flota)</t>
  </si>
  <si>
    <t>Horas de parada correctivas</t>
  </si>
  <si>
    <t>Horas de reparación correctivas</t>
  </si>
  <si>
    <t>Tareas del plan (total)</t>
  </si>
  <si>
    <t>Órdenes por tipo</t>
  </si>
  <si>
    <t>Coste por tipo (€)</t>
  </si>
  <si>
    <t>Preventivas</t>
  </si>
  <si>
    <t>Correctivas</t>
  </si>
  <si>
    <t>Coste de mantenimiento por mes</t>
  </si>
  <si>
    <t>Mes</t>
  </si>
  <si>
    <t>Coste (€)</t>
  </si>
  <si>
    <t>(inicio mes)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</si>
  <si>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</si>
  <si>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</si>
  <si>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</si>
  <si>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</si>
  <si>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</si>
  <si>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</si>
  <si>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</si>
  <si>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</si>
  <si>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</si>
  <si>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</si>
  <si>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</si>
  <si>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</si>
  <si>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(límite)</t>
  </si>
  <si>
    <t>Indicadores por equipo</t>
  </si>
  <si>
    <t>Fallos</t>
  </si>
  <si>
    <t>Talleres Mecánicos ArcoNorte, S.L.  · 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</si>
</sst>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;\-"/>
    <numFmt numFmtId="165" formatCode="0.0%"/>
    <numFmt numFmtId="166" formatCode="#,##0&quot; €&quot;;\(#,##0&quot;) €&quot;;\-"/>
    <numFmt numFmtId="167" formatCode="0&quot; días&quot;;\-0&quot; días&quot;;\-"/>
    <numFmt numFmtId="168" formatCode="#,##0.0&quot; h&quot;;;\-"/>
    <numFmt numFmtId="169" formatCode="#,##0&quot; h&quot;"/>
    <numFmt numFmtId="170" formatCode="#,##0.0&quot; h&quot;"/>
    <numFmt numFmtId="171" formatCode="#,##0.0"/>
  </numFmts>
  <fonts count="27" x14ac:knownFonts="1">
    <font>
      <sz val="11"/>
      <color theme="1"/>
      <name val="Calibri"/>
      <family val="2"/>
      <charset val="1"/>
    </font>
    <font>
      <b/>
      <sz val="20"/>
      <color rgb="FFFFFFFF"/>
      <name val="Arial"/>
      <charset val="1"/>
    </font>
    <font>
      <b/>
      <sz val="11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FF"/>
      <name val="Arial"/>
      <charset val="1"/>
    </font>
    <font>
      <i/>
      <sz val="8"/>
      <color rgb="FF808080"/>
      <name val="Arial"/>
      <charset val="1"/>
    </font>
    <font>
      <b/>
      <sz val="11"/>
      <color rgb="FF008000"/>
      <name val="Arial"/>
      <charset val="1"/>
    </font>
    <font>
      <b/>
      <sz val="10"/>
      <color rgb="FF008000"/>
      <name val="Arial"/>
      <charset val="1"/>
    </font>
    <font>
      <b/>
      <sz val="10"/>
      <color rgb="FF990000"/>
      <name val="Arial"/>
      <charset val="1"/>
    </font>
    <font>
      <b/>
      <sz val="10"/>
      <color rgb="FF7F6000"/>
      <name val="Arial"/>
      <charset val="1"/>
    </font>
    <font>
      <b/>
      <sz val="10"/>
      <color rgb="FF38761D"/>
      <name val="Arial"/>
      <charset val="1"/>
    </font>
    <font>
      <b/>
      <sz val="10"/>
      <color rgb="FF2E5496"/>
      <name val="Arial"/>
      <charset val="1"/>
    </font>
    <font>
      <sz val="9"/>
      <color rgb="FF000000"/>
      <name val="Arial"/>
      <charset val="1"/>
    </font>
    <font>
      <b/>
      <sz val="16"/>
      <color rgb="FFFFFFFF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b/>
      <sz val="9"/>
      <color rgb="FFFFFFFF"/>
      <name val="Arial"/>
      <charset val="1"/>
    </font>
    <font>
      <sz val="9"/>
      <color rgb="FF0000FF"/>
      <name val="Arial"/>
      <charset val="1"/>
    </font>
    <font>
      <sz val="9"/>
      <color rgb="FF008000"/>
      <name val="Arial"/>
      <charset val="1"/>
    </font>
    <font>
      <b/>
      <sz val="9"/>
      <color rgb="FF000000"/>
      <name val="Arial"/>
      <charset val="1"/>
    </font>
    <font>
      <b/>
      <sz val="15"/>
      <color rgb="FFFFFFFF"/>
      <name val="Arial"/>
      <charset val="1"/>
    </font>
    <font>
      <b/>
      <sz val="18"/>
      <color rgb="FFFFFFFF"/>
      <name val="Arial"/>
      <charset val="1"/>
    </font>
    <font>
      <b/>
      <sz val="20"/>
      <color rgb="FF1F3864"/>
      <name val="Arial"/>
      <charset val="1"/>
    </font>
    <font>
      <i/>
      <sz val="8"/>
      <color rgb="FF595959"/>
      <name val="Arial"/>
      <charset val="1"/>
    </font>
    <font>
      <b/>
      <sz val="9"/>
      <color rgb="FF2E5496"/>
      <name val="Arial"/>
      <charset val="1"/>
    </font>
    <font>
      <sz val="8"/>
      <color rgb="FF808080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4CCCC"/>
        <bgColor rgb="FFD9D9D9"/>
      </patternFill>
    </fill>
    <fill>
      <patternFill patternType="solid">
        <fgColor rgb="FFD9EAD3"/>
        <bgColor rgb="FFD6E4F0"/>
      </patternFill>
    </fill>
    <fill>
      <patternFill patternType="solid">
        <fgColor rgb="FF38761D"/>
        <bgColor rgb="FF008000"/>
      </patternFill>
    </fill>
    <fill>
      <patternFill patternType="solid">
        <fgColor rgb="FFD6E4F0"/>
        <bgColor rgb="FFD9EAD3"/>
      </patternFill>
    </fill>
    <fill>
      <patternFill patternType="solid">
        <fgColor theme="3" tint="-0.499984740745262"/>
        <bgColor rgb="FF333333"/>
      </patternFill>
    </fill>
    <fill>
      <patternFill patternType="solid">
        <fgColor theme="3" tint="-0.499984740745262"/>
        <b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7" fillId="3" borderId="0" xfId="0" applyFont="1" applyFill="1" applyAlignment="1">
      <alignment horizontal="center" vertical="center" wrapText="1"/>
    </xf>
    <xf numFmtId="0" fontId="6" fillId="0" borderId="0" xfId="0" applyFont="1"/>
    <xf numFmtId="0" fontId="15" fillId="3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166" fontId="7" fillId="0" borderId="0" xfId="0" applyNumberFormat="1" applyFont="1" applyAlignment="1">
      <alignment horizontal="left" vertical="center" wrapText="1"/>
    </xf>
    <xf numFmtId="165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14" fontId="5" fillId="5" borderId="0" xfId="0" applyNumberFormat="1" applyFont="1" applyFill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164" fontId="16" fillId="5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4" fontId="18" fillId="5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67" fontId="1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8" fontId="18" fillId="5" borderId="1" xfId="0" applyNumberFormat="1" applyFont="1" applyFill="1" applyBorder="1" applyAlignment="1">
      <alignment horizontal="right" vertical="center"/>
    </xf>
    <xf numFmtId="166" fontId="18" fillId="5" borderId="1" xfId="0" applyNumberFormat="1" applyFont="1" applyFill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0" fontId="0" fillId="2" borderId="0" xfId="0" applyFill="1"/>
    <xf numFmtId="0" fontId="17" fillId="2" borderId="0" xfId="0" applyFont="1" applyFill="1" applyAlignment="1">
      <alignment horizontal="right" vertical="center"/>
    </xf>
    <xf numFmtId="168" fontId="17" fillId="2" borderId="1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164" fontId="20" fillId="4" borderId="1" xfId="0" applyNumberFormat="1" applyFont="1" applyFill="1" applyBorder="1" applyAlignment="1">
      <alignment horizontal="right" vertical="center"/>
    </xf>
    <xf numFmtId="164" fontId="20" fillId="6" borderId="1" xfId="0" applyNumberFormat="1" applyFont="1" applyFill="1" applyBorder="1" applyAlignment="1">
      <alignment horizontal="right" vertical="center"/>
    </xf>
    <xf numFmtId="170" fontId="20" fillId="4" borderId="1" xfId="0" applyNumberFormat="1" applyFont="1" applyFill="1" applyBorder="1" applyAlignment="1">
      <alignment horizontal="right" vertical="center"/>
    </xf>
    <xf numFmtId="166" fontId="20" fillId="6" borderId="1" xfId="0" applyNumberFormat="1" applyFont="1" applyFill="1" applyBorder="1" applyAlignment="1">
      <alignment horizontal="right" vertical="center"/>
    </xf>
    <xf numFmtId="166" fontId="20" fillId="4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right" vertical="center"/>
    </xf>
    <xf numFmtId="170" fontId="20" fillId="0" borderId="1" xfId="0" applyNumberFormat="1" applyFont="1" applyBorder="1" applyAlignment="1">
      <alignment horizontal="right" vertical="center"/>
    </xf>
    <xf numFmtId="166" fontId="20" fillId="0" borderId="1" xfId="0" applyNumberFormat="1" applyFont="1" applyBorder="1" applyAlignment="1">
      <alignment horizontal="right" vertical="center"/>
    </xf>
    <xf numFmtId="0" fontId="25" fillId="0" borderId="0" xfId="0" applyFont="1"/>
    <xf numFmtId="0" fontId="13" fillId="0" borderId="1" xfId="0" applyFont="1" applyBorder="1"/>
    <xf numFmtId="164" fontId="20" fillId="0" borderId="1" xfId="0" applyNumberFormat="1" applyFont="1" applyBorder="1"/>
    <xf numFmtId="166" fontId="20" fillId="0" borderId="1" xfId="0" applyNumberFormat="1" applyFont="1" applyBorder="1"/>
    <xf numFmtId="14" fontId="26" fillId="0" borderId="1" xfId="0" applyNumberFormat="1" applyFont="1" applyBorder="1"/>
    <xf numFmtId="0" fontId="26" fillId="0" borderId="0" xfId="0" applyFont="1"/>
    <xf numFmtId="14" fontId="26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71" fontId="13" fillId="0" borderId="1" xfId="0" applyNumberFormat="1" applyFont="1" applyBorder="1" applyAlignment="1">
      <alignment horizontal="right" vertical="center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164" fontId="23" fillId="10" borderId="1" xfId="0" applyNumberFormat="1" applyFont="1" applyFill="1" applyBorder="1" applyAlignment="1">
      <alignment horizontal="center" vertical="center" wrapText="1"/>
    </xf>
    <xf numFmtId="165" fontId="23" fillId="10" borderId="1" xfId="0" applyNumberFormat="1" applyFont="1" applyFill="1" applyBorder="1" applyAlignment="1">
      <alignment horizontal="center" vertical="center" wrapText="1"/>
    </xf>
    <xf numFmtId="169" fontId="23" fillId="10" borderId="1" xfId="0" applyNumberFormat="1" applyFont="1" applyFill="1" applyBorder="1" applyAlignment="1">
      <alignment horizontal="center" vertical="center" wrapText="1"/>
    </xf>
    <xf numFmtId="170" fontId="23" fillId="10" borderId="1" xfId="0" applyNumberFormat="1" applyFont="1" applyFill="1" applyBorder="1" applyAlignment="1">
      <alignment horizontal="center" vertical="center" wrapText="1"/>
    </xf>
    <xf numFmtId="166" fontId="23" fillId="10" borderId="1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top" wrapText="1"/>
    </xf>
    <xf numFmtId="0" fontId="1" fillId="11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left" vertical="center" wrapText="1"/>
    </xf>
  </cellXfs>
  <cellStyles count="1">
    <cellStyle name="Standard" xfId="0" builtinId="0"/>
  </cellStyles>
  <dxfs count="3">
    <dxf>
      <font>
        <b/>
        <sz val="9"/>
        <color rgb="FF38761D"/>
        <name val="Arial"/>
        <charset val="1"/>
      </font>
      <fill>
        <patternFill>
          <bgColor rgb="FFD9EAD3"/>
        </patternFill>
      </fill>
    </dxf>
    <dxf>
      <font>
        <b/>
        <sz val="9"/>
        <color rgb="FF7F6000"/>
        <name val="Arial"/>
        <charset val="1"/>
      </font>
      <fill>
        <patternFill>
          <bgColor rgb="FFFFF2CC"/>
        </patternFill>
      </fill>
    </dxf>
    <dxf>
      <font>
        <b/>
        <sz val="9"/>
        <color rgb="FF990000"/>
        <name val="Arial"/>
        <charset val="1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C0504D"/>
      <rgbColor rgb="FFFFF2CC"/>
      <rgbColor rgb="FFD6E4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EAD3"/>
      <rgbColor rgb="FFFFFF99"/>
      <rgbColor rgb="FF99CCFF"/>
      <rgbColor rgb="FFFF99CC"/>
      <rgbColor rgb="FFCC99FF"/>
      <rgbColor rgb="FFF4CCCC"/>
      <rgbColor rgb="FF4F81BD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8761D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Órdenes: preventivas vs correctivas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9F87-43DA-9267-4EE6762D35DB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9F87-43DA-9267-4EE6762D35DB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9F87-43DA-9267-4EE6762D35DB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9F87-43DA-9267-4EE6762D35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Panel!$B$75:$B$76</c:f>
              <c:strCache>
                <c:ptCount val="2"/>
                <c:pt idx="0">
                  <c:v>Preventivas</c:v>
                </c:pt>
                <c:pt idx="1">
                  <c:v>Correctivas</c:v>
                </c:pt>
              </c:strCache>
            </c:strRef>
          </c:cat>
          <c:val>
            <c:numRef>
              <c:f>Panel!$C$75:$C$76</c:f>
              <c:numCache>
                <c:formatCode>#,##0;;\-</c:formatCode>
                <c:ptCount val="2"/>
                <c:pt idx="0">
                  <c:v>17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87-43DA-9267-4EE6762D3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Coste de mantenimiento por mes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Panel!$C$80</c:f>
              <c:strCache>
                <c:ptCount val="1"/>
                <c:pt idx="0">
                  <c:v>Coste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Panel!$B$81:$B$92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Panel!$C$81:$C$92</c:f>
              <c:numCache>
                <c:formatCode>#,##0" €";\(#,##0") €";\-</c:formatCode>
                <c:ptCount val="12"/>
                <c:pt idx="0">
                  <c:v>423</c:v>
                </c:pt>
                <c:pt idx="1">
                  <c:v>160</c:v>
                </c:pt>
                <c:pt idx="2">
                  <c:v>1388</c:v>
                </c:pt>
                <c:pt idx="3">
                  <c:v>488</c:v>
                </c:pt>
                <c:pt idx="4">
                  <c:v>1130</c:v>
                </c:pt>
                <c:pt idx="5">
                  <c:v>670</c:v>
                </c:pt>
                <c:pt idx="6">
                  <c:v>285</c:v>
                </c:pt>
                <c:pt idx="7">
                  <c:v>460</c:v>
                </c:pt>
                <c:pt idx="8">
                  <c:v>1259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1-441D-9677-85DA785FA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13257"/>
        <c:axId val="88716924"/>
      </c:barChart>
      <c:catAx>
        <c:axId val="9271325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8716924"/>
        <c:crosses val="autoZero"/>
        <c:auto val="1"/>
        <c:lblAlgn val="ctr"/>
        <c:lblOffset val="100"/>
        <c:noMultiLvlLbl val="0"/>
      </c:catAx>
      <c:valAx>
        <c:axId val="8871692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271325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Horas de parada por equipo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Panel!$F$96</c:f>
              <c:strCache>
                <c:ptCount val="1"/>
                <c:pt idx="0">
                  <c:v>Parada (h)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Panel!$C$97:$C$108</c:f>
              <c:strCache>
                <c:ptCount val="12"/>
                <c:pt idx="0">
                  <c:v>Torno CNC</c:v>
                </c:pt>
                <c:pt idx="1">
                  <c:v>Fresadora CNC</c:v>
                </c:pt>
                <c:pt idx="2">
                  <c:v>Centro de mecanizado</c:v>
                </c:pt>
                <c:pt idx="3">
                  <c:v>Rectificadora</c:v>
                </c:pt>
                <c:pt idx="4">
                  <c:v>Sierra de cinta</c:v>
                </c:pt>
                <c:pt idx="5">
                  <c:v>Prensa hidráulica</c:v>
                </c:pt>
                <c:pt idx="6">
                  <c:v>Equipo de soldadura MIG</c:v>
                </c:pt>
                <c:pt idx="7">
                  <c:v>Compresor de aire</c:v>
                </c:pt>
                <c:pt idx="8">
                  <c:v>Puente grúa 5 t</c:v>
                </c:pt>
                <c:pt idx="9">
                  <c:v>Carretilla elevadora</c:v>
                </c:pt>
                <c:pt idx="10">
                  <c:v>Horno tratamiento térmico</c:v>
                </c:pt>
                <c:pt idx="11">
                  <c:v>Compresor de reserva</c:v>
                </c:pt>
              </c:strCache>
            </c:strRef>
          </c:cat>
          <c:val>
            <c:numRef>
              <c:f>Panel!$F$97:$F$108</c:f>
              <c:numCache>
                <c:formatCode>#,##0.0</c:formatCode>
                <c:ptCount val="12"/>
                <c:pt idx="0">
                  <c:v>11</c:v>
                </c:pt>
                <c:pt idx="1">
                  <c:v>10</c:v>
                </c:pt>
                <c:pt idx="2">
                  <c:v>6</c:v>
                </c:pt>
                <c:pt idx="3">
                  <c:v>5</c:v>
                </c:pt>
                <c:pt idx="4">
                  <c:v>3</c:v>
                </c:pt>
                <c:pt idx="5">
                  <c:v>28</c:v>
                </c:pt>
                <c:pt idx="6">
                  <c:v>4</c:v>
                </c:pt>
                <c:pt idx="7">
                  <c:v>8</c:v>
                </c:pt>
                <c:pt idx="8">
                  <c:v>2</c:v>
                </c:pt>
                <c:pt idx="9">
                  <c:v>6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E8-4035-90A2-C7961557B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38458"/>
        <c:axId val="89415142"/>
      </c:barChart>
      <c:catAx>
        <c:axId val="4173845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9415142"/>
        <c:crosses val="autoZero"/>
        <c:auto val="1"/>
        <c:lblAlgn val="ctr"/>
        <c:lblOffset val="100"/>
        <c:noMultiLvlLbl val="0"/>
      </c:catAx>
      <c:valAx>
        <c:axId val="8941514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173845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Coste: preventivo vs correctivo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C0E7-4E52-B586-C7DDA55E4426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0E7-4E52-B586-C7DDA55E4426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C0E7-4E52-B586-C7DDA55E4426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C0E7-4E52-B586-C7DDA55E44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Panel!$E$75:$E$76</c:f>
              <c:strCache>
                <c:ptCount val="2"/>
                <c:pt idx="0">
                  <c:v>Preventivo</c:v>
                </c:pt>
                <c:pt idx="1">
                  <c:v>Correctivo</c:v>
                </c:pt>
              </c:strCache>
            </c:strRef>
          </c:cat>
          <c:val>
            <c:numRef>
              <c:f>Panel!$F$75:$F$76</c:f>
              <c:numCache>
                <c:formatCode>#,##0" €";\(#,##0") €";\-</c:formatCode>
                <c:ptCount val="2"/>
                <c:pt idx="0">
                  <c:v>2030</c:v>
                </c:pt>
                <c:pt idx="1">
                  <c:v>4233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E7-4E52-B586-C7DDA55E4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3</xdr:col>
      <xdr:colOff>843120</xdr:colOff>
      <xdr:row>37</xdr:row>
      <xdr:rowOff>53640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25</xdr:row>
      <xdr:rowOff>0</xdr:rowOff>
    </xdr:from>
    <xdr:to>
      <xdr:col>9</xdr:col>
      <xdr:colOff>90360</xdr:colOff>
      <xdr:row>37</xdr:row>
      <xdr:rowOff>53640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39</xdr:row>
      <xdr:rowOff>0</xdr:rowOff>
    </xdr:from>
    <xdr:to>
      <xdr:col>3</xdr:col>
      <xdr:colOff>1203120</xdr:colOff>
      <xdr:row>54</xdr:row>
      <xdr:rowOff>22320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0</xdr:colOff>
      <xdr:row>39</xdr:row>
      <xdr:rowOff>0</xdr:rowOff>
    </xdr:from>
    <xdr:to>
      <xdr:col>8</xdr:col>
      <xdr:colOff>216360</xdr:colOff>
      <xdr:row>54</xdr:row>
      <xdr:rowOff>22320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8"/>
  <sheetViews>
    <sheetView showGridLines="0" tabSelected="1" zoomScaleNormal="100" workbookViewId="0">
      <selection activeCell="L64" sqref="L64"/>
    </sheetView>
  </sheetViews>
  <sheetFormatPr baseColWidth="10" defaultColWidth="8.7109375" defaultRowHeight="15" x14ac:dyDescent="0.25"/>
  <cols>
    <col min="1" max="1" width="2.42578125" customWidth="1"/>
    <col min="2" max="2" width="34" customWidth="1"/>
    <col min="3" max="3" width="30" customWidth="1"/>
    <col min="4" max="4" width="26" customWidth="1"/>
    <col min="5" max="5" width="22" customWidth="1"/>
    <col min="6" max="6" width="16" customWidth="1"/>
  </cols>
  <sheetData>
    <row r="2" spans="2:6" ht="15" customHeight="1" x14ac:dyDescent="0.25">
      <c r="B2" s="75" t="s">
        <v>0</v>
      </c>
      <c r="C2" s="75"/>
      <c r="D2" s="75"/>
      <c r="E2" s="75"/>
      <c r="F2" s="75"/>
    </row>
    <row r="3" spans="2:6" x14ac:dyDescent="0.25">
      <c r="B3" s="75"/>
      <c r="C3" s="75"/>
      <c r="D3" s="75"/>
      <c r="E3" s="75"/>
      <c r="F3" s="75"/>
    </row>
    <row r="4" spans="2:6" ht="15" customHeight="1" x14ac:dyDescent="0.25">
      <c r="B4" s="12" t="s">
        <v>244</v>
      </c>
      <c r="C4" s="12"/>
      <c r="D4" s="12"/>
      <c r="E4" s="12"/>
      <c r="F4" s="12"/>
    </row>
    <row r="6" spans="2:6" ht="15" customHeight="1" x14ac:dyDescent="0.25">
      <c r="B6" s="76" t="s">
        <v>1</v>
      </c>
      <c r="C6" s="76"/>
      <c r="D6" s="76"/>
      <c r="E6" s="76"/>
      <c r="F6" s="76"/>
    </row>
    <row r="7" spans="2:6" ht="15" customHeight="1" x14ac:dyDescent="0.25">
      <c r="B7" s="13" t="s">
        <v>2</v>
      </c>
      <c r="C7" s="11" t="s">
        <v>3</v>
      </c>
      <c r="D7" s="11"/>
      <c r="E7" s="11"/>
      <c r="F7" s="11"/>
    </row>
    <row r="8" spans="2:6" ht="15" customHeight="1" x14ac:dyDescent="0.25">
      <c r="B8" s="13" t="s">
        <v>4</v>
      </c>
      <c r="C8" s="11" t="s">
        <v>5</v>
      </c>
      <c r="D8" s="11"/>
      <c r="E8" s="11"/>
      <c r="F8" s="11"/>
    </row>
    <row r="9" spans="2:6" ht="15" customHeight="1" x14ac:dyDescent="0.25">
      <c r="B9" s="13" t="s">
        <v>6</v>
      </c>
      <c r="C9" s="11" t="s">
        <v>7</v>
      </c>
      <c r="D9" s="11"/>
      <c r="E9" s="11"/>
      <c r="F9" s="11"/>
    </row>
    <row r="10" spans="2:6" ht="15" customHeight="1" x14ac:dyDescent="0.25">
      <c r="B10" s="13" t="s">
        <v>8</v>
      </c>
      <c r="C10" s="11" t="s">
        <v>9</v>
      </c>
      <c r="D10" s="11"/>
      <c r="E10" s="11"/>
      <c r="F10" s="11"/>
    </row>
    <row r="11" spans="2:6" ht="15" customHeight="1" x14ac:dyDescent="0.25">
      <c r="B11" s="13" t="s">
        <v>10</v>
      </c>
      <c r="C11" s="11" t="s">
        <v>11</v>
      </c>
      <c r="D11" s="11"/>
      <c r="E11" s="11"/>
      <c r="F11" s="11"/>
    </row>
    <row r="12" spans="2:6" ht="15" customHeight="1" x14ac:dyDescent="0.25">
      <c r="B12" s="13" t="s">
        <v>12</v>
      </c>
      <c r="C12" s="11">
        <v>2026</v>
      </c>
      <c r="D12" s="11"/>
      <c r="E12" s="11"/>
      <c r="F12" s="11"/>
    </row>
    <row r="13" spans="2:6" ht="15" customHeight="1" x14ac:dyDescent="0.25">
      <c r="B13" s="13" t="s">
        <v>13</v>
      </c>
      <c r="C13" s="14">
        <v>45945</v>
      </c>
      <c r="D13" s="10" t="s">
        <v>14</v>
      </c>
      <c r="E13" s="10"/>
      <c r="F13" s="10"/>
    </row>
    <row r="15" spans="2:6" ht="15" customHeight="1" x14ac:dyDescent="0.25">
      <c r="B15" s="76" t="s">
        <v>15</v>
      </c>
      <c r="C15" s="76"/>
      <c r="D15" s="76"/>
      <c r="E15" s="76"/>
      <c r="F15" s="76"/>
    </row>
    <row r="16" spans="2:6" x14ac:dyDescent="0.25">
      <c r="B16" s="13" t="s">
        <v>16</v>
      </c>
      <c r="C16" s="9">
        <f>Panel!B6</f>
        <v>12</v>
      </c>
      <c r="D16" s="9"/>
    </row>
    <row r="17" spans="2:6" x14ac:dyDescent="0.25">
      <c r="B17" s="13" t="s">
        <v>17</v>
      </c>
      <c r="C17" s="9">
        <f>Panel!D6</f>
        <v>26</v>
      </c>
      <c r="D17" s="9"/>
    </row>
    <row r="18" spans="2:6" x14ac:dyDescent="0.25">
      <c r="B18" s="13" t="s">
        <v>18</v>
      </c>
      <c r="C18" s="8">
        <f>Panel!F6</f>
        <v>0.65384615384615385</v>
      </c>
      <c r="D18" s="8"/>
    </row>
    <row r="19" spans="2:6" x14ac:dyDescent="0.25">
      <c r="B19" s="13" t="s">
        <v>19</v>
      </c>
      <c r="C19" s="8">
        <f>Panel!H6</f>
        <v>0.99566084788029929</v>
      </c>
      <c r="D19" s="8"/>
    </row>
    <row r="20" spans="2:6" x14ac:dyDescent="0.25">
      <c r="B20" s="13" t="s">
        <v>20</v>
      </c>
      <c r="C20" s="7">
        <f>Panel!F10</f>
        <v>6263</v>
      </c>
      <c r="D20" s="7"/>
    </row>
    <row r="21" spans="2:6" x14ac:dyDescent="0.25">
      <c r="B21" s="13" t="s">
        <v>21</v>
      </c>
      <c r="C21" s="9">
        <f>Panel!C64</f>
        <v>9</v>
      </c>
      <c r="D21" s="9"/>
    </row>
    <row r="23" spans="2:6" ht="15" customHeight="1" x14ac:dyDescent="0.25">
      <c r="B23" s="76" t="s">
        <v>22</v>
      </c>
      <c r="C23" s="76"/>
      <c r="D23" s="76"/>
      <c r="E23" s="76"/>
      <c r="F23" s="76"/>
    </row>
    <row r="24" spans="2:6" ht="15" customHeight="1" x14ac:dyDescent="0.25">
      <c r="B24" s="15" t="s">
        <v>23</v>
      </c>
      <c r="C24" s="11" t="s">
        <v>24</v>
      </c>
      <c r="D24" s="11"/>
      <c r="E24" s="11"/>
      <c r="F24" s="11"/>
    </row>
    <row r="25" spans="2:6" ht="15" customHeight="1" x14ac:dyDescent="0.25">
      <c r="B25" s="16" t="s">
        <v>23</v>
      </c>
      <c r="C25" s="11" t="s">
        <v>25</v>
      </c>
      <c r="D25" s="11"/>
      <c r="E25" s="11"/>
      <c r="F25" s="11"/>
    </row>
    <row r="26" spans="2:6" ht="15" customHeight="1" x14ac:dyDescent="0.25">
      <c r="B26" s="17" t="s">
        <v>23</v>
      </c>
      <c r="C26" s="11" t="s">
        <v>26</v>
      </c>
      <c r="D26" s="11"/>
      <c r="E26" s="11"/>
      <c r="F26" s="11"/>
    </row>
    <row r="27" spans="2:6" ht="15" customHeight="1" x14ac:dyDescent="0.25">
      <c r="B27" s="18" t="s">
        <v>23</v>
      </c>
      <c r="C27" s="11" t="s">
        <v>27</v>
      </c>
      <c r="D27" s="11"/>
      <c r="E27" s="11"/>
      <c r="F27" s="11"/>
    </row>
    <row r="28" spans="2:6" ht="15" customHeight="1" x14ac:dyDescent="0.25">
      <c r="B28" s="19" t="s">
        <v>23</v>
      </c>
      <c r="C28" s="11" t="s">
        <v>28</v>
      </c>
      <c r="D28" s="11"/>
      <c r="E28" s="11"/>
      <c r="F28" s="11"/>
    </row>
    <row r="29" spans="2:6" ht="15" customHeight="1" x14ac:dyDescent="0.25">
      <c r="B29" s="20" t="s">
        <v>23</v>
      </c>
      <c r="C29" s="11" t="s">
        <v>29</v>
      </c>
      <c r="D29" s="11"/>
      <c r="E29" s="11"/>
      <c r="F29" s="11"/>
    </row>
    <row r="31" spans="2:6" ht="15" customHeight="1" x14ac:dyDescent="0.25">
      <c r="B31" s="76" t="s">
        <v>30</v>
      </c>
      <c r="C31" s="76"/>
      <c r="D31" s="76"/>
      <c r="E31" s="76"/>
      <c r="F31" s="76"/>
    </row>
    <row r="32" spans="2:6" ht="30" customHeight="1" x14ac:dyDescent="0.25">
      <c r="B32" s="21" t="s">
        <v>31</v>
      </c>
      <c r="C32" s="6" t="s">
        <v>32</v>
      </c>
      <c r="D32" s="6"/>
      <c r="E32" s="6"/>
      <c r="F32" s="6"/>
    </row>
    <row r="33" spans="2:6" ht="30" customHeight="1" x14ac:dyDescent="0.25">
      <c r="B33" s="21" t="s">
        <v>33</v>
      </c>
      <c r="C33" s="6" t="s">
        <v>34</v>
      </c>
      <c r="D33" s="6"/>
      <c r="E33" s="6"/>
      <c r="F33" s="6"/>
    </row>
    <row r="34" spans="2:6" ht="30" customHeight="1" x14ac:dyDescent="0.25">
      <c r="B34" s="21" t="s">
        <v>35</v>
      </c>
      <c r="C34" s="6" t="s">
        <v>36</v>
      </c>
      <c r="D34" s="6"/>
      <c r="E34" s="6"/>
      <c r="F34" s="6"/>
    </row>
    <row r="35" spans="2:6" ht="30" customHeight="1" x14ac:dyDescent="0.25">
      <c r="B35" s="21" t="s">
        <v>37</v>
      </c>
      <c r="C35" s="6" t="s">
        <v>38</v>
      </c>
      <c r="D35" s="6"/>
      <c r="E35" s="6"/>
      <c r="F35" s="6"/>
    </row>
    <row r="37" spans="2:6" ht="15" customHeight="1" x14ac:dyDescent="0.25">
      <c r="B37" s="5" t="s">
        <v>39</v>
      </c>
      <c r="C37" s="5"/>
      <c r="D37" s="5"/>
      <c r="E37" s="5"/>
      <c r="F37" s="5"/>
    </row>
    <row r="38" spans="2:6" x14ac:dyDescent="0.25">
      <c r="B38" s="5"/>
      <c r="C38" s="5"/>
      <c r="D38" s="5"/>
      <c r="E38" s="5"/>
      <c r="F38" s="5"/>
    </row>
  </sheetData>
  <mergeCells count="30">
    <mergeCell ref="C32:F32"/>
    <mergeCell ref="C33:F33"/>
    <mergeCell ref="C34:F34"/>
    <mergeCell ref="C35:F35"/>
    <mergeCell ref="B37:F38"/>
    <mergeCell ref="C26:F26"/>
    <mergeCell ref="C27:F27"/>
    <mergeCell ref="C28:F28"/>
    <mergeCell ref="C29:F29"/>
    <mergeCell ref="B31:F31"/>
    <mergeCell ref="C20:D20"/>
    <mergeCell ref="C21:D21"/>
    <mergeCell ref="B23:F23"/>
    <mergeCell ref="C24:F24"/>
    <mergeCell ref="C25:F25"/>
    <mergeCell ref="B15:F15"/>
    <mergeCell ref="C16:D16"/>
    <mergeCell ref="C17:D17"/>
    <mergeCell ref="C18:D18"/>
    <mergeCell ref="C19:D19"/>
    <mergeCell ref="C9:F9"/>
    <mergeCell ref="C10:F10"/>
    <mergeCell ref="C11:F11"/>
    <mergeCell ref="C12:F12"/>
    <mergeCell ref="D13:F13"/>
    <mergeCell ref="B2:F3"/>
    <mergeCell ref="B4:F4"/>
    <mergeCell ref="B6:F6"/>
    <mergeCell ref="C7:F7"/>
    <mergeCell ref="C8:F8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8"/>
  <sheetViews>
    <sheetView showGridLines="0" zoomScaleNormal="100" workbookViewId="0">
      <pane ySplit="4" topLeftCell="A5" activePane="bottomLeft" state="frozen"/>
      <selection pane="bottomLeft" sqref="A1:I1"/>
    </sheetView>
  </sheetViews>
  <sheetFormatPr baseColWidth="10" defaultColWidth="8.7109375" defaultRowHeight="15" x14ac:dyDescent="0.25"/>
  <cols>
    <col min="1" max="1" width="11" customWidth="1"/>
    <col min="2" max="2" width="26" customWidth="1"/>
    <col min="3" max="4" width="22" customWidth="1"/>
    <col min="5" max="5" width="18" customWidth="1"/>
    <col min="6" max="6" width="13" customWidth="1"/>
    <col min="7" max="7" width="12" customWidth="1"/>
    <col min="8" max="8" width="13" customWidth="1"/>
    <col min="9" max="9" width="14" customWidth="1"/>
  </cols>
  <sheetData>
    <row r="1" spans="1:9" ht="19.7" customHeight="1" x14ac:dyDescent="0.25">
      <c r="A1" s="4" t="s">
        <v>40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5">
      <c r="A2" s="3" t="s">
        <v>3</v>
      </c>
      <c r="B2" s="3"/>
      <c r="C2" s="3"/>
      <c r="D2" s="3"/>
      <c r="E2" s="3"/>
      <c r="F2" s="3"/>
      <c r="G2" s="3"/>
      <c r="H2" s="3"/>
      <c r="I2" s="3"/>
    </row>
    <row r="4" spans="1:9" ht="25.5" x14ac:dyDescent="0.25">
      <c r="A4" s="22" t="s">
        <v>41</v>
      </c>
      <c r="B4" s="22" t="s">
        <v>42</v>
      </c>
      <c r="C4" s="22" t="s">
        <v>43</v>
      </c>
      <c r="D4" s="22" t="s">
        <v>44</v>
      </c>
      <c r="E4" s="22" t="s">
        <v>45</v>
      </c>
      <c r="F4" s="22" t="s">
        <v>46</v>
      </c>
      <c r="G4" s="22" t="s">
        <v>47</v>
      </c>
      <c r="H4" s="22" t="s">
        <v>48</v>
      </c>
      <c r="I4" s="22" t="s">
        <v>49</v>
      </c>
    </row>
    <row r="5" spans="1:9" x14ac:dyDescent="0.25">
      <c r="A5" s="23" t="s">
        <v>50</v>
      </c>
      <c r="B5" s="24" t="s">
        <v>51</v>
      </c>
      <c r="C5" s="24" t="s">
        <v>52</v>
      </c>
      <c r="D5" s="24" t="s">
        <v>53</v>
      </c>
      <c r="E5" s="23" t="s">
        <v>54</v>
      </c>
      <c r="F5" s="25">
        <v>43536</v>
      </c>
      <c r="G5" s="23" t="s">
        <v>55</v>
      </c>
      <c r="H5" s="26">
        <v>2100</v>
      </c>
      <c r="I5" s="23" t="s">
        <v>56</v>
      </c>
    </row>
    <row r="6" spans="1:9" x14ac:dyDescent="0.25">
      <c r="A6" s="23" t="s">
        <v>57</v>
      </c>
      <c r="B6" s="24" t="s">
        <v>58</v>
      </c>
      <c r="C6" s="24" t="s">
        <v>52</v>
      </c>
      <c r="D6" s="24" t="s">
        <v>59</v>
      </c>
      <c r="E6" s="23" t="s">
        <v>60</v>
      </c>
      <c r="F6" s="25">
        <v>43987</v>
      </c>
      <c r="G6" s="23" t="s">
        <v>55</v>
      </c>
      <c r="H6" s="26">
        <v>1950</v>
      </c>
      <c r="I6" s="23" t="s">
        <v>56</v>
      </c>
    </row>
    <row r="7" spans="1:9" x14ac:dyDescent="0.25">
      <c r="A7" s="23" t="s">
        <v>61</v>
      </c>
      <c r="B7" s="24" t="s">
        <v>62</v>
      </c>
      <c r="C7" s="24" t="s">
        <v>52</v>
      </c>
      <c r="D7" s="24" t="s">
        <v>63</v>
      </c>
      <c r="E7" s="23" t="s">
        <v>64</v>
      </c>
      <c r="F7" s="25">
        <v>44214</v>
      </c>
      <c r="G7" s="23" t="s">
        <v>55</v>
      </c>
      <c r="H7" s="26">
        <v>2200</v>
      </c>
      <c r="I7" s="23" t="s">
        <v>56</v>
      </c>
    </row>
    <row r="8" spans="1:9" x14ac:dyDescent="0.25">
      <c r="A8" s="23" t="s">
        <v>65</v>
      </c>
      <c r="B8" s="24" t="s">
        <v>66</v>
      </c>
      <c r="C8" s="24" t="s">
        <v>67</v>
      </c>
      <c r="D8" s="24" t="s">
        <v>68</v>
      </c>
      <c r="E8" s="23" t="s">
        <v>69</v>
      </c>
      <c r="F8" s="25">
        <v>43365</v>
      </c>
      <c r="G8" s="23" t="s">
        <v>70</v>
      </c>
      <c r="H8" s="26">
        <v>1400</v>
      </c>
      <c r="I8" s="23" t="s">
        <v>56</v>
      </c>
    </row>
    <row r="9" spans="1:9" x14ac:dyDescent="0.25">
      <c r="A9" s="23" t="s">
        <v>71</v>
      </c>
      <c r="B9" s="24" t="s">
        <v>72</v>
      </c>
      <c r="C9" s="24" t="s">
        <v>73</v>
      </c>
      <c r="D9" s="24" t="s">
        <v>74</v>
      </c>
      <c r="E9" s="23" t="s">
        <v>75</v>
      </c>
      <c r="F9" s="25">
        <v>43069</v>
      </c>
      <c r="G9" s="23" t="s">
        <v>70</v>
      </c>
      <c r="H9" s="26">
        <v>1600</v>
      </c>
      <c r="I9" s="23" t="s">
        <v>56</v>
      </c>
    </row>
    <row r="10" spans="1:9" x14ac:dyDescent="0.25">
      <c r="A10" s="23" t="s">
        <v>76</v>
      </c>
      <c r="B10" s="24" t="s">
        <v>77</v>
      </c>
      <c r="C10" s="24" t="s">
        <v>78</v>
      </c>
      <c r="D10" s="24" t="s">
        <v>79</v>
      </c>
      <c r="E10" s="23" t="s">
        <v>80</v>
      </c>
      <c r="F10" s="25">
        <v>42474</v>
      </c>
      <c r="G10" s="23" t="s">
        <v>55</v>
      </c>
      <c r="H10" s="26">
        <v>1200</v>
      </c>
      <c r="I10" s="23" t="s">
        <v>81</v>
      </c>
    </row>
    <row r="11" spans="1:9" x14ac:dyDescent="0.25">
      <c r="A11" s="23" t="s">
        <v>82</v>
      </c>
      <c r="B11" s="24" t="s">
        <v>83</v>
      </c>
      <c r="C11" s="24" t="s">
        <v>84</v>
      </c>
      <c r="D11" s="24" t="s">
        <v>85</v>
      </c>
      <c r="E11" s="23" t="s">
        <v>86</v>
      </c>
      <c r="F11" s="25">
        <v>44386</v>
      </c>
      <c r="G11" s="23" t="s">
        <v>70</v>
      </c>
      <c r="H11" s="26">
        <v>1800</v>
      </c>
      <c r="I11" s="23" t="s">
        <v>56</v>
      </c>
    </row>
    <row r="12" spans="1:9" x14ac:dyDescent="0.25">
      <c r="A12" s="23" t="s">
        <v>87</v>
      </c>
      <c r="B12" s="24" t="s">
        <v>88</v>
      </c>
      <c r="C12" s="24" t="s">
        <v>89</v>
      </c>
      <c r="D12" s="24" t="s">
        <v>90</v>
      </c>
      <c r="E12" s="23" t="s">
        <v>91</v>
      </c>
      <c r="F12" s="25">
        <v>43499</v>
      </c>
      <c r="G12" s="23" t="s">
        <v>55</v>
      </c>
      <c r="H12" s="26">
        <v>4000</v>
      </c>
      <c r="I12" s="23" t="s">
        <v>56</v>
      </c>
    </row>
    <row r="13" spans="1:9" x14ac:dyDescent="0.25">
      <c r="A13" s="23" t="s">
        <v>92</v>
      </c>
      <c r="B13" s="24" t="s">
        <v>93</v>
      </c>
      <c r="C13" s="24" t="s">
        <v>94</v>
      </c>
      <c r="D13" s="24" t="s">
        <v>95</v>
      </c>
      <c r="E13" s="23" t="s">
        <v>96</v>
      </c>
      <c r="F13" s="25">
        <v>42149</v>
      </c>
      <c r="G13" s="23" t="s">
        <v>70</v>
      </c>
      <c r="H13" s="26">
        <v>900</v>
      </c>
      <c r="I13" s="23" t="s">
        <v>56</v>
      </c>
    </row>
    <row r="14" spans="1:9" x14ac:dyDescent="0.25">
      <c r="A14" s="23" t="s">
        <v>97</v>
      </c>
      <c r="B14" s="24" t="s">
        <v>98</v>
      </c>
      <c r="C14" s="24" t="s">
        <v>99</v>
      </c>
      <c r="D14" s="24" t="s">
        <v>100</v>
      </c>
      <c r="E14" s="23" t="s">
        <v>101</v>
      </c>
      <c r="F14" s="25">
        <v>44115</v>
      </c>
      <c r="G14" s="23" t="s">
        <v>70</v>
      </c>
      <c r="H14" s="26">
        <v>1500</v>
      </c>
      <c r="I14" s="23" t="s">
        <v>56</v>
      </c>
    </row>
    <row r="15" spans="1:9" x14ac:dyDescent="0.25">
      <c r="A15" s="23" t="s">
        <v>102</v>
      </c>
      <c r="B15" s="24" t="s">
        <v>103</v>
      </c>
      <c r="C15" s="24" t="s">
        <v>104</v>
      </c>
      <c r="D15" s="24" t="s">
        <v>105</v>
      </c>
      <c r="E15" s="23" t="s">
        <v>106</v>
      </c>
      <c r="F15" s="25">
        <v>43329</v>
      </c>
      <c r="G15" s="23" t="s">
        <v>107</v>
      </c>
      <c r="H15" s="26">
        <v>800</v>
      </c>
      <c r="I15" s="23" t="s">
        <v>56</v>
      </c>
    </row>
    <row r="16" spans="1:9" x14ac:dyDescent="0.25">
      <c r="A16" s="23" t="s">
        <v>108</v>
      </c>
      <c r="B16" s="24" t="s">
        <v>109</v>
      </c>
      <c r="C16" s="24" t="s">
        <v>89</v>
      </c>
      <c r="D16" s="24" t="s">
        <v>110</v>
      </c>
      <c r="E16" s="23" t="s">
        <v>111</v>
      </c>
      <c r="F16" s="25">
        <v>44648</v>
      </c>
      <c r="G16" s="23" t="s">
        <v>107</v>
      </c>
      <c r="H16" s="26">
        <v>600</v>
      </c>
      <c r="I16" s="23" t="s">
        <v>56</v>
      </c>
    </row>
    <row r="18" spans="1:9" x14ac:dyDescent="0.25">
      <c r="A18" s="2" t="s">
        <v>112</v>
      </c>
      <c r="B18" s="2"/>
      <c r="C18" s="2"/>
      <c r="D18" s="2"/>
      <c r="E18" s="2"/>
      <c r="F18" s="2"/>
      <c r="G18" s="2"/>
      <c r="H18" s="2"/>
      <c r="I18" s="2"/>
    </row>
  </sheetData>
  <mergeCells count="3">
    <mergeCell ref="A1:I1"/>
    <mergeCell ref="A2:I2"/>
    <mergeCell ref="A18:I18"/>
  </mergeCells>
  <dataValidations count="2">
    <dataValidation type="list" allowBlank="1" sqref="G5:G16" xr:uid="{00000000-0002-0000-0100-000000000000}">
      <formula1>"Alta,Media,Baja"</formula1>
      <formula2>0</formula2>
    </dataValidation>
    <dataValidation type="list" allowBlank="1" sqref="I5:I16" xr:uid="{00000000-0002-0000-0100-000001000000}">
      <formula1>"Operativo,En reparación,Baja"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showGridLines="0" zoomScaleNormal="100" workbookViewId="0">
      <pane ySplit="4" topLeftCell="A5" activePane="bottomLeft" state="frozen"/>
      <selection pane="bottomLeft" sqref="A1:J1"/>
    </sheetView>
  </sheetViews>
  <sheetFormatPr baseColWidth="10" defaultColWidth="8.7109375" defaultRowHeight="15" x14ac:dyDescent="0.25"/>
  <cols>
    <col min="1" max="1" width="11" customWidth="1"/>
    <col min="2" max="2" width="24" customWidth="1"/>
    <col min="3" max="3" width="34" customWidth="1"/>
    <col min="4" max="4" width="13" customWidth="1"/>
    <col min="5" max="5" width="11" customWidth="1"/>
    <col min="6" max="6" width="18" customWidth="1"/>
    <col min="7" max="8" width="14" customWidth="1"/>
    <col min="9" max="10" width="12" customWidth="1"/>
  </cols>
  <sheetData>
    <row r="1" spans="1:10" ht="19.7" customHeight="1" x14ac:dyDescent="0.25">
      <c r="A1" s="4" t="s">
        <v>113</v>
      </c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25">
      <c r="A2" s="1" t="s">
        <v>114</v>
      </c>
      <c r="B2" s="1"/>
      <c r="C2" s="1"/>
      <c r="D2" s="1"/>
      <c r="E2" s="1"/>
      <c r="F2" s="1"/>
      <c r="G2" s="1"/>
      <c r="H2" s="1"/>
      <c r="I2" s="1"/>
      <c r="J2" s="1"/>
    </row>
    <row r="4" spans="1:10" ht="24" x14ac:dyDescent="0.25">
      <c r="A4" s="27" t="s">
        <v>41</v>
      </c>
      <c r="B4" s="27" t="s">
        <v>42</v>
      </c>
      <c r="C4" s="27" t="s">
        <v>115</v>
      </c>
      <c r="D4" s="27" t="s">
        <v>116</v>
      </c>
      <c r="E4" s="27" t="s">
        <v>117</v>
      </c>
      <c r="F4" s="27" t="s">
        <v>118</v>
      </c>
      <c r="G4" s="27" t="s">
        <v>119</v>
      </c>
      <c r="H4" s="27" t="s">
        <v>120</v>
      </c>
      <c r="I4" s="27" t="s">
        <v>121</v>
      </c>
      <c r="J4" s="27" t="s">
        <v>49</v>
      </c>
    </row>
    <row r="5" spans="1:10" x14ac:dyDescent="0.25">
      <c r="A5" s="28" t="s">
        <v>50</v>
      </c>
      <c r="B5" s="29" t="str">
        <f>IFERROR(INDEX(Activos!$B$5:$B$16,MATCH(A5,Activos!$A$5:$A$16,0)),"")</f>
        <v>Torno CNC</v>
      </c>
      <c r="C5" s="30" t="s">
        <v>122</v>
      </c>
      <c r="D5" s="28" t="s">
        <v>123</v>
      </c>
      <c r="E5" s="31">
        <f t="shared" ref="E5:E18" si="0">IF(D5="Semanal",7,IF(D5="Quincenal",15,IF(D5="Mensual",30,IF(D5="Trimestral",90,IF(D5="Semestral",180,IF(D5="Anual",365,""))))))</f>
        <v>30</v>
      </c>
      <c r="F5" s="30" t="s">
        <v>124</v>
      </c>
      <c r="G5" s="32">
        <v>45925</v>
      </c>
      <c r="H5" s="33">
        <f t="shared" ref="H5:H18" si="1">IF(OR(G5="",E5=""),"",G5+E5)</f>
        <v>45955</v>
      </c>
      <c r="I5" s="34">
        <f>IF(H5="","",H5-Portada!$C$13)</f>
        <v>10</v>
      </c>
      <c r="J5" s="35" t="str">
        <f t="shared" ref="J5:J18" si="2">IF(I5="","",IF(I5&lt;0,"Vencido",IF(I5&lt;=15,"Próximo","Al día")))</f>
        <v>Próximo</v>
      </c>
    </row>
    <row r="6" spans="1:10" ht="24" x14ac:dyDescent="0.25">
      <c r="A6" s="28" t="s">
        <v>50</v>
      </c>
      <c r="B6" s="29" t="str">
        <f>IFERROR(INDEX(Activos!$B$5:$B$16,MATCH(A6,Activos!$A$5:$A$16,0)),"")</f>
        <v>Torno CNC</v>
      </c>
      <c r="C6" s="30" t="s">
        <v>125</v>
      </c>
      <c r="D6" s="28" t="s">
        <v>126</v>
      </c>
      <c r="E6" s="31">
        <f t="shared" si="0"/>
        <v>90</v>
      </c>
      <c r="F6" s="30" t="s">
        <v>124</v>
      </c>
      <c r="G6" s="32">
        <v>45889</v>
      </c>
      <c r="H6" s="33">
        <f t="shared" si="1"/>
        <v>45979</v>
      </c>
      <c r="I6" s="34">
        <f>IF(H6="","",H6-Portada!$C$13)</f>
        <v>34</v>
      </c>
      <c r="J6" s="35" t="str">
        <f t="shared" si="2"/>
        <v>Al día</v>
      </c>
    </row>
    <row r="7" spans="1:10" x14ac:dyDescent="0.25">
      <c r="A7" s="28" t="s">
        <v>57</v>
      </c>
      <c r="B7" s="29" t="str">
        <f>IFERROR(INDEX(Activos!$B$5:$B$16,MATCH(A7,Activos!$A$5:$A$16,0)),"")</f>
        <v>Fresadora CNC</v>
      </c>
      <c r="C7" s="30" t="s">
        <v>127</v>
      </c>
      <c r="D7" s="28" t="s">
        <v>126</v>
      </c>
      <c r="E7" s="31">
        <f t="shared" si="0"/>
        <v>90</v>
      </c>
      <c r="F7" s="30" t="s">
        <v>124</v>
      </c>
      <c r="G7" s="32">
        <v>45848</v>
      </c>
      <c r="H7" s="33">
        <f t="shared" si="1"/>
        <v>45938</v>
      </c>
      <c r="I7" s="34">
        <f>IF(H7="","",H7-Portada!$C$13)</f>
        <v>-7</v>
      </c>
      <c r="J7" s="35" t="str">
        <f t="shared" si="2"/>
        <v>Vencido</v>
      </c>
    </row>
    <row r="8" spans="1:10" x14ac:dyDescent="0.25">
      <c r="A8" s="28" t="s">
        <v>61</v>
      </c>
      <c r="B8" s="29" t="str">
        <f>IFERROR(INDEX(Activos!$B$5:$B$16,MATCH(A8,Activos!$A$5:$A$16,0)),"")</f>
        <v>Centro de mecanizado</v>
      </c>
      <c r="C8" s="30" t="s">
        <v>128</v>
      </c>
      <c r="D8" s="28" t="s">
        <v>129</v>
      </c>
      <c r="E8" s="31">
        <f t="shared" si="0"/>
        <v>180</v>
      </c>
      <c r="F8" s="30" t="s">
        <v>130</v>
      </c>
      <c r="G8" s="32">
        <v>45792</v>
      </c>
      <c r="H8" s="33">
        <f t="shared" si="1"/>
        <v>45972</v>
      </c>
      <c r="I8" s="34">
        <f>IF(H8="","",H8-Portada!$C$13)</f>
        <v>27</v>
      </c>
      <c r="J8" s="35" t="str">
        <f t="shared" si="2"/>
        <v>Al día</v>
      </c>
    </row>
    <row r="9" spans="1:10" x14ac:dyDescent="0.25">
      <c r="A9" s="28" t="s">
        <v>61</v>
      </c>
      <c r="B9" s="29" t="str">
        <f>IFERROR(INDEX(Activos!$B$5:$B$16,MATCH(A9,Activos!$A$5:$A$16,0)),"")</f>
        <v>Centro de mecanizado</v>
      </c>
      <c r="C9" s="30" t="s">
        <v>131</v>
      </c>
      <c r="D9" s="28" t="s">
        <v>123</v>
      </c>
      <c r="E9" s="31">
        <f t="shared" si="0"/>
        <v>30</v>
      </c>
      <c r="F9" s="30" t="s">
        <v>132</v>
      </c>
      <c r="G9" s="32">
        <v>45928</v>
      </c>
      <c r="H9" s="33">
        <f t="shared" si="1"/>
        <v>45958</v>
      </c>
      <c r="I9" s="34">
        <f>IF(H9="","",H9-Portada!$C$13)</f>
        <v>13</v>
      </c>
      <c r="J9" s="35" t="str">
        <f t="shared" si="2"/>
        <v>Próximo</v>
      </c>
    </row>
    <row r="10" spans="1:10" x14ac:dyDescent="0.25">
      <c r="A10" s="28" t="s">
        <v>65</v>
      </c>
      <c r="B10" s="29" t="str">
        <f>IFERROR(INDEX(Activos!$B$5:$B$16,MATCH(A10,Activos!$A$5:$A$16,0)),"")</f>
        <v>Rectificadora</v>
      </c>
      <c r="C10" s="30" t="s">
        <v>133</v>
      </c>
      <c r="D10" s="28" t="s">
        <v>126</v>
      </c>
      <c r="E10" s="31">
        <f t="shared" si="0"/>
        <v>90</v>
      </c>
      <c r="F10" s="30" t="s">
        <v>132</v>
      </c>
      <c r="G10" s="32">
        <v>45871</v>
      </c>
      <c r="H10" s="33">
        <f t="shared" si="1"/>
        <v>45961</v>
      </c>
      <c r="I10" s="34">
        <f>IF(H10="","",H10-Portada!$C$13)</f>
        <v>16</v>
      </c>
      <c r="J10" s="35" t="str">
        <f t="shared" si="2"/>
        <v>Al día</v>
      </c>
    </row>
    <row r="11" spans="1:10" x14ac:dyDescent="0.25">
      <c r="A11" s="28" t="s">
        <v>71</v>
      </c>
      <c r="B11" s="29" t="str">
        <f>IFERROR(INDEX(Activos!$B$5:$B$16,MATCH(A11,Activos!$A$5:$A$16,0)),"")</f>
        <v>Sierra de cinta</v>
      </c>
      <c r="C11" s="30" t="s">
        <v>134</v>
      </c>
      <c r="D11" s="28" t="s">
        <v>123</v>
      </c>
      <c r="E11" s="31">
        <f t="shared" si="0"/>
        <v>30</v>
      </c>
      <c r="F11" s="30" t="s">
        <v>135</v>
      </c>
      <c r="G11" s="32">
        <v>45912</v>
      </c>
      <c r="H11" s="33">
        <f t="shared" si="1"/>
        <v>45942</v>
      </c>
      <c r="I11" s="34">
        <f>IF(H11="","",H11-Portada!$C$13)</f>
        <v>-3</v>
      </c>
      <c r="J11" s="35" t="str">
        <f t="shared" si="2"/>
        <v>Vencido</v>
      </c>
    </row>
    <row r="12" spans="1:10" x14ac:dyDescent="0.25">
      <c r="A12" s="28" t="s">
        <v>76</v>
      </c>
      <c r="B12" s="29" t="str">
        <f>IFERROR(INDEX(Activos!$B$5:$B$16,MATCH(A12,Activos!$A$5:$A$16,0)),"")</f>
        <v>Prensa hidráulica</v>
      </c>
      <c r="C12" s="30" t="s">
        <v>136</v>
      </c>
      <c r="D12" s="28" t="s">
        <v>129</v>
      </c>
      <c r="E12" s="31">
        <f t="shared" si="0"/>
        <v>180</v>
      </c>
      <c r="F12" s="30" t="s">
        <v>130</v>
      </c>
      <c r="G12" s="32">
        <v>45767</v>
      </c>
      <c r="H12" s="33">
        <f t="shared" si="1"/>
        <v>45947</v>
      </c>
      <c r="I12" s="34">
        <f>IF(H12="","",H12-Portada!$C$13)</f>
        <v>2</v>
      </c>
      <c r="J12" s="35" t="str">
        <f t="shared" si="2"/>
        <v>Próximo</v>
      </c>
    </row>
    <row r="13" spans="1:10" x14ac:dyDescent="0.25">
      <c r="A13" s="28" t="s">
        <v>82</v>
      </c>
      <c r="B13" s="29" t="str">
        <f>IFERROR(INDEX(Activos!$B$5:$B$16,MATCH(A13,Activos!$A$5:$A$16,0)),"")</f>
        <v>Equipo de soldadura MIG</v>
      </c>
      <c r="C13" s="30" t="s">
        <v>137</v>
      </c>
      <c r="D13" s="28" t="s">
        <v>123</v>
      </c>
      <c r="E13" s="31">
        <f t="shared" si="0"/>
        <v>30</v>
      </c>
      <c r="F13" s="30" t="s">
        <v>135</v>
      </c>
      <c r="G13" s="32">
        <v>45930</v>
      </c>
      <c r="H13" s="33">
        <f t="shared" si="1"/>
        <v>45960</v>
      </c>
      <c r="I13" s="34">
        <f>IF(H13="","",H13-Portada!$C$13)</f>
        <v>15</v>
      </c>
      <c r="J13" s="35" t="str">
        <f t="shared" si="2"/>
        <v>Próximo</v>
      </c>
    </row>
    <row r="14" spans="1:10" x14ac:dyDescent="0.25">
      <c r="A14" s="28" t="s">
        <v>87</v>
      </c>
      <c r="B14" s="29" t="str">
        <f>IFERROR(INDEX(Activos!$B$5:$B$16,MATCH(A14,Activos!$A$5:$A$16,0)),"")</f>
        <v>Compresor de aire</v>
      </c>
      <c r="C14" s="30" t="s">
        <v>138</v>
      </c>
      <c r="D14" s="28" t="s">
        <v>129</v>
      </c>
      <c r="E14" s="31">
        <f t="shared" si="0"/>
        <v>180</v>
      </c>
      <c r="F14" s="30" t="s">
        <v>124</v>
      </c>
      <c r="G14" s="32">
        <v>45814</v>
      </c>
      <c r="H14" s="33">
        <f t="shared" si="1"/>
        <v>45994</v>
      </c>
      <c r="I14" s="34">
        <f>IF(H14="","",H14-Portada!$C$13)</f>
        <v>49</v>
      </c>
      <c r="J14" s="35" t="str">
        <f t="shared" si="2"/>
        <v>Al día</v>
      </c>
    </row>
    <row r="15" spans="1:10" ht="24" x14ac:dyDescent="0.25">
      <c r="A15" s="28" t="s">
        <v>87</v>
      </c>
      <c r="B15" s="29" t="str">
        <f>IFERROR(INDEX(Activos!$B$5:$B$16,MATCH(A15,Activos!$A$5:$A$16,0)),"")</f>
        <v>Compresor de aire</v>
      </c>
      <c r="C15" s="30" t="s">
        <v>139</v>
      </c>
      <c r="D15" s="28" t="s">
        <v>123</v>
      </c>
      <c r="E15" s="31">
        <f t="shared" si="0"/>
        <v>30</v>
      </c>
      <c r="F15" s="30" t="s">
        <v>124</v>
      </c>
      <c r="G15" s="32">
        <v>45931</v>
      </c>
      <c r="H15" s="33">
        <f t="shared" si="1"/>
        <v>45961</v>
      </c>
      <c r="I15" s="34">
        <f>IF(H15="","",H15-Portada!$C$13)</f>
        <v>16</v>
      </c>
      <c r="J15" s="35" t="str">
        <f t="shared" si="2"/>
        <v>Al día</v>
      </c>
    </row>
    <row r="16" spans="1:10" x14ac:dyDescent="0.25">
      <c r="A16" s="28" t="s">
        <v>92</v>
      </c>
      <c r="B16" s="29" t="str">
        <f>IFERROR(INDEX(Activos!$B$5:$B$16,MATCH(A16,Activos!$A$5:$A$16,0)),"")</f>
        <v>Puente grúa 5 t</v>
      </c>
      <c r="C16" s="30" t="s">
        <v>140</v>
      </c>
      <c r="D16" s="28" t="s">
        <v>141</v>
      </c>
      <c r="E16" s="31">
        <f t="shared" si="0"/>
        <v>365</v>
      </c>
      <c r="F16" s="30" t="s">
        <v>130</v>
      </c>
      <c r="G16" s="32">
        <v>45614</v>
      </c>
      <c r="H16" s="33">
        <f t="shared" si="1"/>
        <v>45979</v>
      </c>
      <c r="I16" s="34">
        <f>IF(H16="","",H16-Portada!$C$13)</f>
        <v>34</v>
      </c>
      <c r="J16" s="35" t="str">
        <f t="shared" si="2"/>
        <v>Al día</v>
      </c>
    </row>
    <row r="17" spans="1:10" x14ac:dyDescent="0.25">
      <c r="A17" s="28" t="s">
        <v>97</v>
      </c>
      <c r="B17" s="29" t="str">
        <f>IFERROR(INDEX(Activos!$B$5:$B$16,MATCH(A17,Activos!$A$5:$A$16,0)),"")</f>
        <v>Carretilla elevadora</v>
      </c>
      <c r="C17" s="30" t="s">
        <v>142</v>
      </c>
      <c r="D17" s="28" t="s">
        <v>126</v>
      </c>
      <c r="E17" s="31">
        <f t="shared" si="0"/>
        <v>90</v>
      </c>
      <c r="F17" s="30" t="s">
        <v>135</v>
      </c>
      <c r="G17" s="32">
        <v>45905</v>
      </c>
      <c r="H17" s="33">
        <f t="shared" si="1"/>
        <v>45995</v>
      </c>
      <c r="I17" s="34">
        <f>IF(H17="","",H17-Portada!$C$13)</f>
        <v>50</v>
      </c>
      <c r="J17" s="35" t="str">
        <f t="shared" si="2"/>
        <v>Al día</v>
      </c>
    </row>
    <row r="18" spans="1:10" x14ac:dyDescent="0.25">
      <c r="A18" s="28" t="s">
        <v>102</v>
      </c>
      <c r="B18" s="29" t="str">
        <f>IFERROR(INDEX(Activos!$B$5:$B$16,MATCH(A18,Activos!$A$5:$A$16,0)),"")</f>
        <v>Horno tratamiento térmico</v>
      </c>
      <c r="C18" s="30" t="s">
        <v>143</v>
      </c>
      <c r="D18" s="28" t="s">
        <v>141</v>
      </c>
      <c r="E18" s="31">
        <f t="shared" si="0"/>
        <v>365</v>
      </c>
      <c r="F18" s="30" t="s">
        <v>130</v>
      </c>
      <c r="G18" s="32">
        <v>45587</v>
      </c>
      <c r="H18" s="33">
        <f t="shared" si="1"/>
        <v>45952</v>
      </c>
      <c r="I18" s="34">
        <f>IF(H18="","",H18-Portada!$C$13)</f>
        <v>7</v>
      </c>
      <c r="J18" s="35" t="str">
        <f t="shared" si="2"/>
        <v>Próximo</v>
      </c>
    </row>
    <row r="20" spans="1:10" x14ac:dyDescent="0.25">
      <c r="A20" s="2" t="s">
        <v>144</v>
      </c>
      <c r="B20" s="2"/>
      <c r="C20" s="2"/>
      <c r="D20" s="2"/>
      <c r="E20" s="2"/>
      <c r="F20" s="2"/>
      <c r="G20" s="2"/>
      <c r="H20" s="2"/>
      <c r="I20" s="2"/>
      <c r="J20" s="2"/>
    </row>
  </sheetData>
  <mergeCells count="3">
    <mergeCell ref="A1:J1"/>
    <mergeCell ref="A2:J2"/>
    <mergeCell ref="A20:J20"/>
  </mergeCells>
  <conditionalFormatting sqref="J5:J18">
    <cfRule type="cellIs" dxfId="2" priority="2" operator="equal">
      <formula>"Vencido"</formula>
    </cfRule>
    <cfRule type="cellIs" dxfId="1" priority="3" operator="equal">
      <formula>"Próximo"</formula>
    </cfRule>
    <cfRule type="cellIs" dxfId="0" priority="4" operator="equal">
      <formula>"Al día"</formula>
    </cfRule>
  </conditionalFormatting>
  <dataValidations count="1">
    <dataValidation type="list" allowBlank="1" sqref="D5:D18" xr:uid="{00000000-0002-0000-0200-000000000000}">
      <formula1>"Semanal,Quincenal,Mensual,Trimestral,Semestral,Anual"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1"/>
  <sheetViews>
    <sheetView showGridLines="0" zoomScaleNormal="100" workbookViewId="0">
      <pane ySplit="4" topLeftCell="A5" activePane="bottomLeft" state="frozen"/>
      <selection pane="bottomLeft" sqref="A1:M1"/>
    </sheetView>
  </sheetViews>
  <sheetFormatPr baseColWidth="10" defaultColWidth="8.7109375" defaultRowHeight="15" x14ac:dyDescent="0.25"/>
  <cols>
    <col min="1" max="1" width="13" customWidth="1"/>
    <col min="2" max="2" width="12" customWidth="1"/>
    <col min="3" max="3" width="10" customWidth="1"/>
    <col min="4" max="4" width="22" customWidth="1"/>
    <col min="5" max="5" width="12" customWidth="1"/>
    <col min="6" max="6" width="34" customWidth="1"/>
    <col min="7" max="7" width="16" customWidth="1"/>
    <col min="8" max="8" width="10" customWidth="1"/>
    <col min="9" max="9" width="12" customWidth="1"/>
    <col min="10" max="12" width="13" customWidth="1"/>
    <col min="13" max="13" width="11" customWidth="1"/>
  </cols>
  <sheetData>
    <row r="1" spans="1:13" ht="18.600000000000001" customHeight="1" x14ac:dyDescent="0.25">
      <c r="A1" s="62" t="s">
        <v>145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15" customHeight="1" x14ac:dyDescent="0.25">
      <c r="A2" s="1" t="s">
        <v>146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25">
      <c r="A4" s="27" t="s">
        <v>147</v>
      </c>
      <c r="B4" s="27" t="s">
        <v>148</v>
      </c>
      <c r="C4" s="27" t="s">
        <v>149</v>
      </c>
      <c r="D4" s="27" t="s">
        <v>42</v>
      </c>
      <c r="E4" s="27" t="s">
        <v>150</v>
      </c>
      <c r="F4" s="27" t="s">
        <v>151</v>
      </c>
      <c r="G4" s="27" t="s">
        <v>152</v>
      </c>
      <c r="H4" s="27" t="s">
        <v>153</v>
      </c>
      <c r="I4" s="27" t="s">
        <v>154</v>
      </c>
      <c r="J4" s="27" t="s">
        <v>155</v>
      </c>
      <c r="K4" s="27" t="s">
        <v>156</v>
      </c>
      <c r="L4" s="27" t="s">
        <v>157</v>
      </c>
      <c r="M4" s="27" t="s">
        <v>49</v>
      </c>
    </row>
    <row r="5" spans="1:13" x14ac:dyDescent="0.25">
      <c r="A5" s="28" t="s">
        <v>158</v>
      </c>
      <c r="B5" s="32">
        <v>45666</v>
      </c>
      <c r="C5" s="28" t="s">
        <v>87</v>
      </c>
      <c r="D5" s="29" t="str">
        <f>IFERROR(INDEX(Activos!$B$5:$B$16,MATCH(C5,Activos!$A$5:$A$16,0)),"")</f>
        <v>Compresor de aire</v>
      </c>
      <c r="E5" s="28" t="s">
        <v>159</v>
      </c>
      <c r="F5" s="30" t="s">
        <v>160</v>
      </c>
      <c r="G5" s="30" t="s">
        <v>124</v>
      </c>
      <c r="H5" s="36">
        <v>4</v>
      </c>
      <c r="I5" s="36">
        <v>3</v>
      </c>
      <c r="J5" s="37">
        <v>120</v>
      </c>
      <c r="K5" s="37">
        <v>105</v>
      </c>
      <c r="L5" s="38">
        <f t="shared" ref="L5:L30" si="0">J5+K5</f>
        <v>225</v>
      </c>
      <c r="M5" s="28" t="s">
        <v>161</v>
      </c>
    </row>
    <row r="6" spans="1:13" x14ac:dyDescent="0.25">
      <c r="A6" s="28" t="s">
        <v>162</v>
      </c>
      <c r="B6" s="32">
        <v>45672</v>
      </c>
      <c r="C6" s="28" t="s">
        <v>50</v>
      </c>
      <c r="D6" s="29" t="str">
        <f>IFERROR(INDEX(Activos!$B$5:$B$16,MATCH(C6,Activos!$A$5:$A$16,0)),"")</f>
        <v>Torno CNC</v>
      </c>
      <c r="E6" s="28" t="s">
        <v>163</v>
      </c>
      <c r="F6" s="30" t="s">
        <v>122</v>
      </c>
      <c r="G6" s="30" t="s">
        <v>124</v>
      </c>
      <c r="H6" s="36">
        <v>1</v>
      </c>
      <c r="I6" s="36">
        <v>1.5</v>
      </c>
      <c r="J6" s="37">
        <v>25</v>
      </c>
      <c r="K6" s="37">
        <v>53</v>
      </c>
      <c r="L6" s="38">
        <f t="shared" si="0"/>
        <v>78</v>
      </c>
      <c r="M6" s="28" t="s">
        <v>161</v>
      </c>
    </row>
    <row r="7" spans="1:13" x14ac:dyDescent="0.25">
      <c r="A7" s="28" t="s">
        <v>164</v>
      </c>
      <c r="B7" s="32">
        <v>45685</v>
      </c>
      <c r="C7" s="28" t="s">
        <v>71</v>
      </c>
      <c r="D7" s="29" t="str">
        <f>IFERROR(INDEX(Activos!$B$5:$B$16,MATCH(C7,Activos!$A$5:$A$16,0)),"")</f>
        <v>Sierra de cinta</v>
      </c>
      <c r="E7" s="28" t="s">
        <v>159</v>
      </c>
      <c r="F7" s="30" t="s">
        <v>165</v>
      </c>
      <c r="G7" s="30" t="s">
        <v>135</v>
      </c>
      <c r="H7" s="36">
        <v>2</v>
      </c>
      <c r="I7" s="36">
        <v>1</v>
      </c>
      <c r="J7" s="37">
        <v>85</v>
      </c>
      <c r="K7" s="37">
        <v>35</v>
      </c>
      <c r="L7" s="38">
        <f t="shared" si="0"/>
        <v>120</v>
      </c>
      <c r="M7" s="28" t="s">
        <v>161</v>
      </c>
    </row>
    <row r="8" spans="1:13" x14ac:dyDescent="0.25">
      <c r="A8" s="28" t="s">
        <v>166</v>
      </c>
      <c r="B8" s="32">
        <v>45694</v>
      </c>
      <c r="C8" s="28" t="s">
        <v>57</v>
      </c>
      <c r="D8" s="29" t="str">
        <f>IFERROR(INDEX(Activos!$B$5:$B$16,MATCH(C8,Activos!$A$5:$A$16,0)),"")</f>
        <v>Fresadora CNC</v>
      </c>
      <c r="E8" s="28" t="s">
        <v>163</v>
      </c>
      <c r="F8" s="30" t="s">
        <v>127</v>
      </c>
      <c r="G8" s="30" t="s">
        <v>124</v>
      </c>
      <c r="H8" s="36">
        <v>2</v>
      </c>
      <c r="I8" s="36">
        <v>2</v>
      </c>
      <c r="J8" s="37">
        <v>40</v>
      </c>
      <c r="K8" s="37">
        <v>70</v>
      </c>
      <c r="L8" s="38">
        <f t="shared" si="0"/>
        <v>110</v>
      </c>
      <c r="M8" s="28" t="s">
        <v>161</v>
      </c>
    </row>
    <row r="9" spans="1:13" x14ac:dyDescent="0.25">
      <c r="A9" s="28" t="s">
        <v>167</v>
      </c>
      <c r="B9" s="32">
        <v>45707</v>
      </c>
      <c r="C9" s="28" t="s">
        <v>61</v>
      </c>
      <c r="D9" s="29" t="str">
        <f>IFERROR(INDEX(Activos!$B$5:$B$16,MATCH(C9,Activos!$A$5:$A$16,0)),"")</f>
        <v>Centro de mecanizado</v>
      </c>
      <c r="E9" s="28" t="s">
        <v>163</v>
      </c>
      <c r="F9" s="30" t="s">
        <v>131</v>
      </c>
      <c r="G9" s="30" t="s">
        <v>132</v>
      </c>
      <c r="H9" s="36">
        <v>1</v>
      </c>
      <c r="I9" s="36">
        <v>1</v>
      </c>
      <c r="J9" s="37">
        <v>15</v>
      </c>
      <c r="K9" s="37">
        <v>35</v>
      </c>
      <c r="L9" s="38">
        <f t="shared" si="0"/>
        <v>50</v>
      </c>
      <c r="M9" s="28" t="s">
        <v>161</v>
      </c>
    </row>
    <row r="10" spans="1:13" x14ac:dyDescent="0.25">
      <c r="A10" s="28" t="s">
        <v>168</v>
      </c>
      <c r="B10" s="32">
        <v>45719</v>
      </c>
      <c r="C10" s="28" t="s">
        <v>76</v>
      </c>
      <c r="D10" s="29" t="str">
        <f>IFERROR(INDEX(Activos!$B$5:$B$16,MATCH(C10,Activos!$A$5:$A$16,0)),"")</f>
        <v>Prensa hidráulica</v>
      </c>
      <c r="E10" s="28" t="s">
        <v>159</v>
      </c>
      <c r="F10" s="30" t="s">
        <v>169</v>
      </c>
      <c r="G10" s="30" t="s">
        <v>130</v>
      </c>
      <c r="H10" s="36">
        <v>16</v>
      </c>
      <c r="I10" s="36">
        <v>10</v>
      </c>
      <c r="J10" s="37">
        <v>640</v>
      </c>
      <c r="K10" s="37">
        <v>520</v>
      </c>
      <c r="L10" s="38">
        <f t="shared" si="0"/>
        <v>1160</v>
      </c>
      <c r="M10" s="28" t="s">
        <v>161</v>
      </c>
    </row>
    <row r="11" spans="1:13" x14ac:dyDescent="0.25">
      <c r="A11" s="28" t="s">
        <v>170</v>
      </c>
      <c r="B11" s="32">
        <v>45728</v>
      </c>
      <c r="C11" s="28" t="s">
        <v>97</v>
      </c>
      <c r="D11" s="29" t="str">
        <f>IFERROR(INDEX(Activos!$B$5:$B$16,MATCH(C11,Activos!$A$5:$A$16,0)),"")</f>
        <v>Carretilla elevadora</v>
      </c>
      <c r="E11" s="28" t="s">
        <v>163</v>
      </c>
      <c r="F11" s="30" t="s">
        <v>142</v>
      </c>
      <c r="G11" s="30" t="s">
        <v>135</v>
      </c>
      <c r="H11" s="36">
        <v>2</v>
      </c>
      <c r="I11" s="36">
        <v>2</v>
      </c>
      <c r="J11" s="37">
        <v>60</v>
      </c>
      <c r="K11" s="37">
        <v>70</v>
      </c>
      <c r="L11" s="38">
        <f t="shared" si="0"/>
        <v>130</v>
      </c>
      <c r="M11" s="28" t="s">
        <v>161</v>
      </c>
    </row>
    <row r="12" spans="1:13" x14ac:dyDescent="0.25">
      <c r="A12" s="28" t="s">
        <v>171</v>
      </c>
      <c r="B12" s="32">
        <v>45740</v>
      </c>
      <c r="C12" s="28" t="s">
        <v>65</v>
      </c>
      <c r="D12" s="29" t="str">
        <f>IFERROR(INDEX(Activos!$B$5:$B$16,MATCH(C12,Activos!$A$5:$A$16,0)),"")</f>
        <v>Rectificadora</v>
      </c>
      <c r="E12" s="28" t="s">
        <v>163</v>
      </c>
      <c r="F12" s="30" t="s">
        <v>133</v>
      </c>
      <c r="G12" s="30" t="s">
        <v>132</v>
      </c>
      <c r="H12" s="36">
        <v>2</v>
      </c>
      <c r="I12" s="36">
        <v>1.5</v>
      </c>
      <c r="J12" s="37">
        <v>45</v>
      </c>
      <c r="K12" s="37">
        <v>53</v>
      </c>
      <c r="L12" s="38">
        <f t="shared" si="0"/>
        <v>98</v>
      </c>
      <c r="M12" s="28" t="s">
        <v>161</v>
      </c>
    </row>
    <row r="13" spans="1:13" x14ac:dyDescent="0.25">
      <c r="A13" s="28" t="s">
        <v>172</v>
      </c>
      <c r="B13" s="32">
        <v>45754</v>
      </c>
      <c r="C13" s="28" t="s">
        <v>87</v>
      </c>
      <c r="D13" s="29" t="str">
        <f>IFERROR(INDEX(Activos!$B$5:$B$16,MATCH(C13,Activos!$A$5:$A$16,0)),"")</f>
        <v>Compresor de aire</v>
      </c>
      <c r="E13" s="28" t="s">
        <v>163</v>
      </c>
      <c r="F13" s="30" t="s">
        <v>138</v>
      </c>
      <c r="G13" s="30" t="s">
        <v>124</v>
      </c>
      <c r="H13" s="36">
        <v>3</v>
      </c>
      <c r="I13" s="36">
        <v>2.5</v>
      </c>
      <c r="J13" s="37">
        <v>180</v>
      </c>
      <c r="K13" s="37">
        <v>88</v>
      </c>
      <c r="L13" s="38">
        <f t="shared" si="0"/>
        <v>268</v>
      </c>
      <c r="M13" s="28" t="s">
        <v>161</v>
      </c>
    </row>
    <row r="14" spans="1:13" x14ac:dyDescent="0.25">
      <c r="A14" s="28" t="s">
        <v>173</v>
      </c>
      <c r="B14" s="32">
        <v>45768</v>
      </c>
      <c r="C14" s="28" t="s">
        <v>82</v>
      </c>
      <c r="D14" s="29" t="str">
        <f>IFERROR(INDEX(Activos!$B$5:$B$16,MATCH(C14,Activos!$A$5:$A$16,0)),"")</f>
        <v>Equipo de soldadura MIG</v>
      </c>
      <c r="E14" s="28" t="s">
        <v>159</v>
      </c>
      <c r="F14" s="30" t="s">
        <v>174</v>
      </c>
      <c r="G14" s="30" t="s">
        <v>135</v>
      </c>
      <c r="H14" s="36">
        <v>3</v>
      </c>
      <c r="I14" s="36">
        <v>2</v>
      </c>
      <c r="J14" s="37">
        <v>150</v>
      </c>
      <c r="K14" s="37">
        <v>70</v>
      </c>
      <c r="L14" s="38">
        <f t="shared" si="0"/>
        <v>220</v>
      </c>
      <c r="M14" s="28" t="s">
        <v>161</v>
      </c>
    </row>
    <row r="15" spans="1:13" x14ac:dyDescent="0.25">
      <c r="A15" s="28" t="s">
        <v>175</v>
      </c>
      <c r="B15" s="32">
        <v>45782</v>
      </c>
      <c r="C15" s="28" t="s">
        <v>50</v>
      </c>
      <c r="D15" s="29" t="str">
        <f>IFERROR(INDEX(Activos!$B$5:$B$16,MATCH(C15,Activos!$A$5:$A$16,0)),"")</f>
        <v>Torno CNC</v>
      </c>
      <c r="E15" s="28" t="s">
        <v>159</v>
      </c>
      <c r="F15" s="30" t="s">
        <v>176</v>
      </c>
      <c r="G15" s="30" t="s">
        <v>130</v>
      </c>
      <c r="H15" s="36">
        <v>8</v>
      </c>
      <c r="I15" s="36">
        <v>6</v>
      </c>
      <c r="J15" s="37">
        <v>380</v>
      </c>
      <c r="K15" s="37">
        <v>312</v>
      </c>
      <c r="L15" s="38">
        <f t="shared" si="0"/>
        <v>692</v>
      </c>
      <c r="M15" s="28" t="s">
        <v>161</v>
      </c>
    </row>
    <row r="16" spans="1:13" x14ac:dyDescent="0.25">
      <c r="A16" s="28" t="s">
        <v>177</v>
      </c>
      <c r="B16" s="32">
        <v>45793</v>
      </c>
      <c r="C16" s="28" t="s">
        <v>61</v>
      </c>
      <c r="D16" s="29" t="str">
        <f>IFERROR(INDEX(Activos!$B$5:$B$16,MATCH(C16,Activos!$A$5:$A$16,0)),"")</f>
        <v>Centro de mecanizado</v>
      </c>
      <c r="E16" s="28" t="s">
        <v>163</v>
      </c>
      <c r="F16" s="30" t="s">
        <v>128</v>
      </c>
      <c r="G16" s="30" t="s">
        <v>130</v>
      </c>
      <c r="H16" s="36">
        <v>4</v>
      </c>
      <c r="I16" s="36">
        <v>4</v>
      </c>
      <c r="J16" s="37">
        <v>90</v>
      </c>
      <c r="K16" s="37">
        <v>208</v>
      </c>
      <c r="L16" s="38">
        <f t="shared" si="0"/>
        <v>298</v>
      </c>
      <c r="M16" s="28" t="s">
        <v>161</v>
      </c>
    </row>
    <row r="17" spans="1:13" ht="24" x14ac:dyDescent="0.25">
      <c r="A17" s="28" t="s">
        <v>178</v>
      </c>
      <c r="B17" s="32">
        <v>45807</v>
      </c>
      <c r="C17" s="28" t="s">
        <v>102</v>
      </c>
      <c r="D17" s="29" t="str">
        <f>IFERROR(INDEX(Activos!$B$5:$B$16,MATCH(C17,Activos!$A$5:$A$16,0)),"")</f>
        <v>Horno tratamiento térmico</v>
      </c>
      <c r="E17" s="28" t="s">
        <v>163</v>
      </c>
      <c r="F17" s="30" t="s">
        <v>179</v>
      </c>
      <c r="G17" s="30" t="s">
        <v>132</v>
      </c>
      <c r="H17" s="36">
        <v>3</v>
      </c>
      <c r="I17" s="36">
        <v>2</v>
      </c>
      <c r="J17" s="37">
        <v>70</v>
      </c>
      <c r="K17" s="37">
        <v>70</v>
      </c>
      <c r="L17" s="38">
        <f t="shared" si="0"/>
        <v>140</v>
      </c>
      <c r="M17" s="28" t="s">
        <v>161</v>
      </c>
    </row>
    <row r="18" spans="1:13" x14ac:dyDescent="0.25">
      <c r="A18" s="28" t="s">
        <v>180</v>
      </c>
      <c r="B18" s="32">
        <v>45819</v>
      </c>
      <c r="C18" s="28" t="s">
        <v>92</v>
      </c>
      <c r="D18" s="29" t="str">
        <f>IFERROR(INDEX(Activos!$B$5:$B$16,MATCH(C18,Activos!$A$5:$A$16,0)),"")</f>
        <v>Puente grúa 5 t</v>
      </c>
      <c r="E18" s="28" t="s">
        <v>163</v>
      </c>
      <c r="F18" s="30" t="s">
        <v>181</v>
      </c>
      <c r="G18" s="30" t="s">
        <v>135</v>
      </c>
      <c r="H18" s="36">
        <v>2</v>
      </c>
      <c r="I18" s="36">
        <v>2</v>
      </c>
      <c r="J18" s="37">
        <v>50</v>
      </c>
      <c r="K18" s="37">
        <v>70</v>
      </c>
      <c r="L18" s="38">
        <f t="shared" si="0"/>
        <v>120</v>
      </c>
      <c r="M18" s="28" t="s">
        <v>161</v>
      </c>
    </row>
    <row r="19" spans="1:13" x14ac:dyDescent="0.25">
      <c r="A19" s="28" t="s">
        <v>182</v>
      </c>
      <c r="B19" s="32">
        <v>45832</v>
      </c>
      <c r="C19" s="28" t="s">
        <v>57</v>
      </c>
      <c r="D19" s="29" t="str">
        <f>IFERROR(INDEX(Activos!$B$5:$B$16,MATCH(C19,Activos!$A$5:$A$16,0)),"")</f>
        <v>Fresadora CNC</v>
      </c>
      <c r="E19" s="28" t="s">
        <v>159</v>
      </c>
      <c r="F19" s="30" t="s">
        <v>183</v>
      </c>
      <c r="G19" s="30" t="s">
        <v>130</v>
      </c>
      <c r="H19" s="36">
        <v>6</v>
      </c>
      <c r="I19" s="36">
        <v>5</v>
      </c>
      <c r="J19" s="37">
        <v>290</v>
      </c>
      <c r="K19" s="37">
        <v>260</v>
      </c>
      <c r="L19" s="38">
        <f t="shared" si="0"/>
        <v>550</v>
      </c>
      <c r="M19" s="28" t="s">
        <v>161</v>
      </c>
    </row>
    <row r="20" spans="1:13" ht="24" x14ac:dyDescent="0.25">
      <c r="A20" s="28" t="s">
        <v>184</v>
      </c>
      <c r="B20" s="32">
        <v>45846</v>
      </c>
      <c r="C20" s="28" t="s">
        <v>87</v>
      </c>
      <c r="D20" s="29" t="str">
        <f>IFERROR(INDEX(Activos!$B$5:$B$16,MATCH(C20,Activos!$A$5:$A$16,0)),"")</f>
        <v>Compresor de aire</v>
      </c>
      <c r="E20" s="28" t="s">
        <v>163</v>
      </c>
      <c r="F20" s="30" t="s">
        <v>139</v>
      </c>
      <c r="G20" s="30" t="s">
        <v>124</v>
      </c>
      <c r="H20" s="36">
        <v>1</v>
      </c>
      <c r="I20" s="36">
        <v>1</v>
      </c>
      <c r="J20" s="37">
        <v>20</v>
      </c>
      <c r="K20" s="37">
        <v>35</v>
      </c>
      <c r="L20" s="38">
        <f t="shared" si="0"/>
        <v>55</v>
      </c>
      <c r="M20" s="28" t="s">
        <v>161</v>
      </c>
    </row>
    <row r="21" spans="1:13" x14ac:dyDescent="0.25">
      <c r="A21" s="28" t="s">
        <v>185</v>
      </c>
      <c r="B21" s="32">
        <v>45848</v>
      </c>
      <c r="C21" s="28" t="s">
        <v>57</v>
      </c>
      <c r="D21" s="29" t="str">
        <f>IFERROR(INDEX(Activos!$B$5:$B$16,MATCH(C21,Activos!$A$5:$A$16,0)),"")</f>
        <v>Fresadora CNC</v>
      </c>
      <c r="E21" s="28" t="s">
        <v>163</v>
      </c>
      <c r="F21" s="30" t="s">
        <v>127</v>
      </c>
      <c r="G21" s="30" t="s">
        <v>124</v>
      </c>
      <c r="H21" s="36">
        <v>2</v>
      </c>
      <c r="I21" s="36">
        <v>2</v>
      </c>
      <c r="J21" s="37">
        <v>40</v>
      </c>
      <c r="K21" s="37">
        <v>70</v>
      </c>
      <c r="L21" s="38">
        <f t="shared" si="0"/>
        <v>110</v>
      </c>
      <c r="M21" s="28" t="s">
        <v>161</v>
      </c>
    </row>
    <row r="22" spans="1:13" x14ac:dyDescent="0.25">
      <c r="A22" s="28" t="s">
        <v>186</v>
      </c>
      <c r="B22" s="32">
        <v>45861</v>
      </c>
      <c r="C22" s="28" t="s">
        <v>71</v>
      </c>
      <c r="D22" s="29" t="str">
        <f>IFERROR(INDEX(Activos!$B$5:$B$16,MATCH(C22,Activos!$A$5:$A$16,0)),"")</f>
        <v>Sierra de cinta</v>
      </c>
      <c r="E22" s="28" t="s">
        <v>163</v>
      </c>
      <c r="F22" s="30" t="s">
        <v>134</v>
      </c>
      <c r="G22" s="30" t="s">
        <v>135</v>
      </c>
      <c r="H22" s="36">
        <v>1</v>
      </c>
      <c r="I22" s="36">
        <v>1</v>
      </c>
      <c r="J22" s="37">
        <v>85</v>
      </c>
      <c r="K22" s="37">
        <v>35</v>
      </c>
      <c r="L22" s="38">
        <f t="shared" si="0"/>
        <v>120</v>
      </c>
      <c r="M22" s="28" t="s">
        <v>161</v>
      </c>
    </row>
    <row r="23" spans="1:13" x14ac:dyDescent="0.25">
      <c r="A23" s="28" t="s">
        <v>187</v>
      </c>
      <c r="B23" s="32">
        <v>45873</v>
      </c>
      <c r="C23" s="28" t="s">
        <v>65</v>
      </c>
      <c r="D23" s="29" t="str">
        <f>IFERROR(INDEX(Activos!$B$5:$B$16,MATCH(C23,Activos!$A$5:$A$16,0)),"")</f>
        <v>Rectificadora</v>
      </c>
      <c r="E23" s="28" t="s">
        <v>159</v>
      </c>
      <c r="F23" s="30" t="s">
        <v>188</v>
      </c>
      <c r="G23" s="30" t="s">
        <v>132</v>
      </c>
      <c r="H23" s="36">
        <v>3</v>
      </c>
      <c r="I23" s="36">
        <v>2</v>
      </c>
      <c r="J23" s="37">
        <v>130</v>
      </c>
      <c r="K23" s="37">
        <v>70</v>
      </c>
      <c r="L23" s="38">
        <f t="shared" si="0"/>
        <v>200</v>
      </c>
      <c r="M23" s="28" t="s">
        <v>161</v>
      </c>
    </row>
    <row r="24" spans="1:13" x14ac:dyDescent="0.25">
      <c r="A24" s="28" t="s">
        <v>189</v>
      </c>
      <c r="B24" s="32">
        <v>45881</v>
      </c>
      <c r="C24" s="28" t="s">
        <v>97</v>
      </c>
      <c r="D24" s="29" t="str">
        <f>IFERROR(INDEX(Activos!$B$5:$B$16,MATCH(C24,Activos!$A$5:$A$16,0)),"")</f>
        <v>Carretilla elevadora</v>
      </c>
      <c r="E24" s="28" t="s">
        <v>159</v>
      </c>
      <c r="F24" s="30" t="s">
        <v>190</v>
      </c>
      <c r="G24" s="30" t="s">
        <v>135</v>
      </c>
      <c r="H24" s="36">
        <v>2</v>
      </c>
      <c r="I24" s="36">
        <v>1</v>
      </c>
      <c r="J24" s="37">
        <v>95</v>
      </c>
      <c r="K24" s="37">
        <v>35</v>
      </c>
      <c r="L24" s="38">
        <f t="shared" si="0"/>
        <v>130</v>
      </c>
      <c r="M24" s="28" t="s">
        <v>161</v>
      </c>
    </row>
    <row r="25" spans="1:13" ht="24" x14ac:dyDescent="0.25">
      <c r="A25" s="28" t="s">
        <v>191</v>
      </c>
      <c r="B25" s="32">
        <v>45889</v>
      </c>
      <c r="C25" s="28" t="s">
        <v>50</v>
      </c>
      <c r="D25" s="29" t="str">
        <f>IFERROR(INDEX(Activos!$B$5:$B$16,MATCH(C25,Activos!$A$5:$A$16,0)),"")</f>
        <v>Torno CNC</v>
      </c>
      <c r="E25" s="28" t="s">
        <v>163</v>
      </c>
      <c r="F25" s="30" t="s">
        <v>125</v>
      </c>
      <c r="G25" s="30" t="s">
        <v>124</v>
      </c>
      <c r="H25" s="36">
        <v>2</v>
      </c>
      <c r="I25" s="36">
        <v>2</v>
      </c>
      <c r="J25" s="37">
        <v>60</v>
      </c>
      <c r="K25" s="37">
        <v>70</v>
      </c>
      <c r="L25" s="38">
        <f t="shared" si="0"/>
        <v>130</v>
      </c>
      <c r="M25" s="28" t="s">
        <v>161</v>
      </c>
    </row>
    <row r="26" spans="1:13" x14ac:dyDescent="0.25">
      <c r="A26" s="28" t="s">
        <v>192</v>
      </c>
      <c r="B26" s="32">
        <v>45902</v>
      </c>
      <c r="C26" s="28" t="s">
        <v>108</v>
      </c>
      <c r="D26" s="29" t="str">
        <f>IFERROR(INDEX(Activos!$B$5:$B$16,MATCH(C26,Activos!$A$5:$A$16,0)),"")</f>
        <v>Compresor de reserva</v>
      </c>
      <c r="E26" s="28" t="s">
        <v>163</v>
      </c>
      <c r="F26" s="30" t="s">
        <v>193</v>
      </c>
      <c r="G26" s="30" t="s">
        <v>124</v>
      </c>
      <c r="H26" s="36">
        <v>1</v>
      </c>
      <c r="I26" s="36">
        <v>1.5</v>
      </c>
      <c r="J26" s="37">
        <v>30</v>
      </c>
      <c r="K26" s="37">
        <v>53</v>
      </c>
      <c r="L26" s="38">
        <f t="shared" si="0"/>
        <v>83</v>
      </c>
      <c r="M26" s="28" t="s">
        <v>161</v>
      </c>
    </row>
    <row r="27" spans="1:13" x14ac:dyDescent="0.25">
      <c r="A27" s="28" t="s">
        <v>194</v>
      </c>
      <c r="B27" s="32">
        <v>45905</v>
      </c>
      <c r="C27" s="28" t="s">
        <v>97</v>
      </c>
      <c r="D27" s="29" t="str">
        <f>IFERROR(INDEX(Activos!$B$5:$B$16,MATCH(C27,Activos!$A$5:$A$16,0)),"")</f>
        <v>Carretilla elevadora</v>
      </c>
      <c r="E27" s="28" t="s">
        <v>163</v>
      </c>
      <c r="F27" s="30" t="s">
        <v>142</v>
      </c>
      <c r="G27" s="30" t="s">
        <v>135</v>
      </c>
      <c r="H27" s="36">
        <v>2</v>
      </c>
      <c r="I27" s="36">
        <v>2</v>
      </c>
      <c r="J27" s="37">
        <v>60</v>
      </c>
      <c r="K27" s="37">
        <v>70</v>
      </c>
      <c r="L27" s="38">
        <f t="shared" si="0"/>
        <v>130</v>
      </c>
      <c r="M27" s="28" t="s">
        <v>161</v>
      </c>
    </row>
    <row r="28" spans="1:13" x14ac:dyDescent="0.25">
      <c r="A28" s="28" t="s">
        <v>195</v>
      </c>
      <c r="B28" s="32">
        <v>45915</v>
      </c>
      <c r="C28" s="28" t="s">
        <v>76</v>
      </c>
      <c r="D28" s="29" t="str">
        <f>IFERROR(INDEX(Activos!$B$5:$B$16,MATCH(C28,Activos!$A$5:$A$16,0)),"")</f>
        <v>Prensa hidráulica</v>
      </c>
      <c r="E28" s="28" t="s">
        <v>159</v>
      </c>
      <c r="F28" s="30" t="s">
        <v>196</v>
      </c>
      <c r="G28" s="30" t="s">
        <v>130</v>
      </c>
      <c r="H28" s="36">
        <v>12</v>
      </c>
      <c r="I28" s="36">
        <v>8</v>
      </c>
      <c r="J28" s="37">
        <v>520</v>
      </c>
      <c r="K28" s="37">
        <v>416</v>
      </c>
      <c r="L28" s="38">
        <f t="shared" si="0"/>
        <v>936</v>
      </c>
      <c r="M28" s="28" t="s">
        <v>197</v>
      </c>
    </row>
    <row r="29" spans="1:13" x14ac:dyDescent="0.25">
      <c r="A29" s="28" t="s">
        <v>198</v>
      </c>
      <c r="B29" s="32">
        <v>45922</v>
      </c>
      <c r="C29" s="28" t="s">
        <v>61</v>
      </c>
      <c r="D29" s="29" t="str">
        <f>IFERROR(INDEX(Activos!$B$5:$B$16,MATCH(C29,Activos!$A$5:$A$16,0)),"")</f>
        <v>Centro de mecanizado</v>
      </c>
      <c r="E29" s="28" t="s">
        <v>163</v>
      </c>
      <c r="F29" s="30" t="s">
        <v>131</v>
      </c>
      <c r="G29" s="30" t="s">
        <v>132</v>
      </c>
      <c r="H29" s="36">
        <v>1</v>
      </c>
      <c r="I29" s="36">
        <v>1</v>
      </c>
      <c r="J29" s="37">
        <v>15</v>
      </c>
      <c r="K29" s="37">
        <v>35</v>
      </c>
      <c r="L29" s="38">
        <f t="shared" si="0"/>
        <v>50</v>
      </c>
      <c r="M29" s="28" t="s">
        <v>161</v>
      </c>
    </row>
    <row r="30" spans="1:13" x14ac:dyDescent="0.25">
      <c r="A30" s="28" t="s">
        <v>199</v>
      </c>
      <c r="B30" s="32">
        <v>45928</v>
      </c>
      <c r="C30" s="28" t="s">
        <v>82</v>
      </c>
      <c r="D30" s="29" t="str">
        <f>IFERROR(INDEX(Activos!$B$5:$B$16,MATCH(C30,Activos!$A$5:$A$16,0)),"")</f>
        <v>Equipo de soldadura MIG</v>
      </c>
      <c r="E30" s="28" t="s">
        <v>163</v>
      </c>
      <c r="F30" s="30" t="s">
        <v>137</v>
      </c>
      <c r="G30" s="30" t="s">
        <v>135</v>
      </c>
      <c r="H30" s="36">
        <v>1</v>
      </c>
      <c r="I30" s="36">
        <v>1</v>
      </c>
      <c r="J30" s="37">
        <v>25</v>
      </c>
      <c r="K30" s="37">
        <v>35</v>
      </c>
      <c r="L30" s="38">
        <f t="shared" si="0"/>
        <v>60</v>
      </c>
      <c r="M30" s="28" t="s">
        <v>161</v>
      </c>
    </row>
    <row r="31" spans="1:13" x14ac:dyDescent="0.25">
      <c r="A31" s="39"/>
      <c r="B31" s="39"/>
      <c r="C31" s="39"/>
      <c r="D31" s="39"/>
      <c r="E31" s="39"/>
      <c r="F31" s="40" t="s">
        <v>200</v>
      </c>
      <c r="G31" s="39"/>
      <c r="H31" s="41">
        <f>SUM(H5:H30)</f>
        <v>87</v>
      </c>
      <c r="I31" s="41">
        <f>SUM(I5:I30)</f>
        <v>68</v>
      </c>
      <c r="J31" s="42">
        <f>SUM(J5:J30)</f>
        <v>3320</v>
      </c>
      <c r="K31" s="42">
        <f>SUM(K5:K30)</f>
        <v>2943</v>
      </c>
      <c r="L31" s="42">
        <f>SUM(L5:L30)</f>
        <v>6263</v>
      </c>
      <c r="M31" s="39"/>
    </row>
  </sheetData>
  <mergeCells count="2">
    <mergeCell ref="A1:M1"/>
    <mergeCell ref="A2:M2"/>
  </mergeCells>
  <dataValidations count="2">
    <dataValidation type="list" allowBlank="1" sqref="E5:E30" xr:uid="{00000000-0002-0000-0300-000000000000}">
      <formula1>"Preventivo,Correctivo"</formula1>
      <formula2>0</formula2>
    </dataValidation>
    <dataValidation type="list" allowBlank="1" sqref="M5:M30" xr:uid="{00000000-0002-0000-0300-000001000000}">
      <formula1>"Cerrada,En curso,Pendiente"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K108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20" customWidth="1"/>
    <col min="3" max="3" width="14" customWidth="1"/>
    <col min="4" max="4" width="18" customWidth="1"/>
    <col min="5" max="5" width="12" customWidth="1"/>
    <col min="6" max="6" width="18" customWidth="1"/>
    <col min="7" max="7" width="12" customWidth="1"/>
    <col min="8" max="8" width="18" customWidth="1"/>
    <col min="9" max="9" width="12" customWidth="1"/>
    <col min="10" max="11" width="10" customWidth="1"/>
  </cols>
  <sheetData>
    <row r="2" spans="2:11" ht="15" customHeight="1" x14ac:dyDescent="0.25">
      <c r="B2" s="63" t="s">
        <v>201</v>
      </c>
      <c r="C2" s="63"/>
      <c r="D2" s="63"/>
      <c r="E2" s="63"/>
      <c r="F2" s="63"/>
      <c r="G2" s="63"/>
      <c r="H2" s="63"/>
      <c r="I2" s="63"/>
      <c r="J2" s="63"/>
      <c r="K2" s="63"/>
    </row>
    <row r="3" spans="2:11" x14ac:dyDescent="0.25"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2:11" ht="15" customHeight="1" x14ac:dyDescent="0.25">
      <c r="B5" s="64" t="s">
        <v>31</v>
      </c>
      <c r="C5" s="64"/>
      <c r="D5" s="64" t="s">
        <v>17</v>
      </c>
      <c r="E5" s="64"/>
      <c r="F5" s="65" t="s">
        <v>202</v>
      </c>
      <c r="G5" s="65"/>
      <c r="H5" s="65" t="s">
        <v>203</v>
      </c>
      <c r="I5" s="65"/>
    </row>
    <row r="6" spans="2:11" x14ac:dyDescent="0.25">
      <c r="B6" s="66">
        <f>COUNTA(Activos!$A$5:$A$16)</f>
        <v>12</v>
      </c>
      <c r="C6" s="66"/>
      <c r="D6" s="66">
        <f>C62</f>
        <v>26</v>
      </c>
      <c r="E6" s="66"/>
      <c r="F6" s="67">
        <f>C63/C62</f>
        <v>0.65384615384615385</v>
      </c>
      <c r="G6" s="67"/>
      <c r="H6" s="67">
        <f>(C61-C65)/C61</f>
        <v>0.99566084788029929</v>
      </c>
      <c r="I6" s="67"/>
    </row>
    <row r="7" spans="2:11" x14ac:dyDescent="0.25">
      <c r="B7" s="66"/>
      <c r="C7" s="66"/>
      <c r="D7" s="66"/>
      <c r="E7" s="66"/>
      <c r="F7" s="67"/>
      <c r="G7" s="67"/>
      <c r="H7" s="67"/>
      <c r="I7" s="67"/>
    </row>
    <row r="9" spans="2:11" ht="15" customHeight="1" x14ac:dyDescent="0.25">
      <c r="B9" s="64" t="s">
        <v>204</v>
      </c>
      <c r="C9" s="64"/>
      <c r="D9" s="64" t="s">
        <v>205</v>
      </c>
      <c r="E9" s="64"/>
      <c r="F9" s="64" t="s">
        <v>206</v>
      </c>
      <c r="G9" s="64"/>
      <c r="H9" s="65" t="s">
        <v>207</v>
      </c>
      <c r="I9" s="65"/>
    </row>
    <row r="10" spans="2:11" x14ac:dyDescent="0.25">
      <c r="B10" s="68">
        <f>(C61-C66)/C64</f>
        <v>2221.5555555555557</v>
      </c>
      <c r="C10" s="68"/>
      <c r="D10" s="69">
        <f>C67/C64</f>
        <v>4.2222222222222223</v>
      </c>
      <c r="E10" s="69"/>
      <c r="F10" s="70">
        <f>C68</f>
        <v>6263</v>
      </c>
      <c r="G10" s="70"/>
      <c r="H10" s="67">
        <f>1-C72/C71</f>
        <v>0.85714285714285721</v>
      </c>
      <c r="I10" s="67"/>
    </row>
    <row r="11" spans="2:11" x14ac:dyDescent="0.25">
      <c r="B11" s="68"/>
      <c r="C11" s="68"/>
      <c r="D11" s="69"/>
      <c r="E11" s="69"/>
      <c r="F11" s="70"/>
      <c r="G11" s="70"/>
      <c r="H11" s="67"/>
      <c r="I11" s="67"/>
    </row>
    <row r="13" spans="2:11" ht="15" customHeight="1" x14ac:dyDescent="0.25">
      <c r="B13" s="71" t="s">
        <v>208</v>
      </c>
      <c r="C13" s="71"/>
      <c r="D13" s="71"/>
      <c r="E13" s="71"/>
    </row>
    <row r="14" spans="2:11" ht="15" customHeight="1" x14ac:dyDescent="0.25">
      <c r="B14" s="72" t="s">
        <v>209</v>
      </c>
      <c r="C14" s="72"/>
      <c r="D14" s="72"/>
      <c r="E14" s="43">
        <f>C63</f>
        <v>17</v>
      </c>
    </row>
    <row r="15" spans="2:11" ht="15" customHeight="1" x14ac:dyDescent="0.25">
      <c r="B15" s="73" t="s">
        <v>210</v>
      </c>
      <c r="C15" s="73"/>
      <c r="D15" s="73"/>
      <c r="E15" s="44">
        <f>C64</f>
        <v>9</v>
      </c>
    </row>
    <row r="16" spans="2:11" ht="15" customHeight="1" x14ac:dyDescent="0.25">
      <c r="B16" s="72" t="s">
        <v>211</v>
      </c>
      <c r="C16" s="72"/>
      <c r="D16" s="72"/>
      <c r="E16" s="45">
        <f>C65</f>
        <v>87</v>
      </c>
    </row>
    <row r="17" spans="2:5" ht="15" customHeight="1" x14ac:dyDescent="0.25">
      <c r="B17" s="73" t="s">
        <v>212</v>
      </c>
      <c r="C17" s="73"/>
      <c r="D17" s="73"/>
      <c r="E17" s="46">
        <f>C70</f>
        <v>2030</v>
      </c>
    </row>
    <row r="18" spans="2:5" ht="15" customHeight="1" x14ac:dyDescent="0.25">
      <c r="B18" s="72" t="s">
        <v>213</v>
      </c>
      <c r="C18" s="72"/>
      <c r="D18" s="72"/>
      <c r="E18" s="47">
        <f>C69</f>
        <v>4233</v>
      </c>
    </row>
    <row r="19" spans="2:5" ht="15" customHeight="1" x14ac:dyDescent="0.25">
      <c r="B19" s="73" t="s">
        <v>214</v>
      </c>
      <c r="C19" s="73"/>
      <c r="D19" s="73"/>
      <c r="E19" s="44">
        <f>C72</f>
        <v>2</v>
      </c>
    </row>
    <row r="21" spans="2:5" ht="15" customHeight="1" x14ac:dyDescent="0.25">
      <c r="B21" s="74" t="s">
        <v>215</v>
      </c>
      <c r="C21" s="74"/>
      <c r="D21" s="74"/>
      <c r="E21" s="74"/>
    </row>
    <row r="22" spans="2:5" x14ac:dyDescent="0.25">
      <c r="B22" s="74"/>
      <c r="C22" s="74"/>
      <c r="D22" s="74"/>
      <c r="E22" s="74"/>
    </row>
    <row r="23" spans="2:5" x14ac:dyDescent="0.25">
      <c r="B23" s="74"/>
      <c r="C23" s="74"/>
      <c r="D23" s="74"/>
      <c r="E23" s="74"/>
    </row>
    <row r="58" spans="2:8" ht="15" customHeight="1" x14ac:dyDescent="0.25">
      <c r="B58" s="71" t="s">
        <v>216</v>
      </c>
      <c r="C58" s="71"/>
      <c r="D58" s="71"/>
      <c r="E58" s="71"/>
      <c r="F58" s="71"/>
      <c r="G58" s="71"/>
      <c r="H58" s="71"/>
    </row>
    <row r="61" spans="2:8" ht="24" x14ac:dyDescent="0.25">
      <c r="B61" s="48" t="s">
        <v>217</v>
      </c>
      <c r="C61" s="49">
        <f>SUM(Activos!$H$5:$H$16)</f>
        <v>20050</v>
      </c>
    </row>
    <row r="62" spans="2:8" x14ac:dyDescent="0.25">
      <c r="B62" s="48" t="s">
        <v>17</v>
      </c>
      <c r="C62" s="49">
        <f>COUNTA(Registro!$A$5:$A$30)</f>
        <v>26</v>
      </c>
    </row>
    <row r="63" spans="2:8" x14ac:dyDescent="0.25">
      <c r="B63" s="48" t="s">
        <v>209</v>
      </c>
      <c r="C63" s="49">
        <f>COUNTIF(Registro!$E$5:$E$30,"Preventivo")</f>
        <v>17</v>
      </c>
    </row>
    <row r="64" spans="2:8" ht="24" x14ac:dyDescent="0.25">
      <c r="B64" s="48" t="s">
        <v>210</v>
      </c>
      <c r="C64" s="49">
        <f>COUNTIF(Registro!$E$5:$E$30,"Correctivo")</f>
        <v>9</v>
      </c>
    </row>
    <row r="65" spans="2:6" ht="24" x14ac:dyDescent="0.25">
      <c r="B65" s="48" t="s">
        <v>211</v>
      </c>
      <c r="C65" s="50">
        <f>SUM(Registro!$H$5:$H$30)</f>
        <v>87</v>
      </c>
    </row>
    <row r="66" spans="2:6" ht="24" x14ac:dyDescent="0.25">
      <c r="B66" s="48" t="s">
        <v>218</v>
      </c>
      <c r="C66" s="50">
        <f>SUMIF(Registro!$E$5:$E$30,"Correctivo",Registro!$H$5:$H$30)</f>
        <v>56</v>
      </c>
    </row>
    <row r="67" spans="2:6" ht="24" x14ac:dyDescent="0.25">
      <c r="B67" s="48" t="s">
        <v>219</v>
      </c>
      <c r="C67" s="50">
        <f>SUMIF(Registro!$E$5:$E$30,"Correctivo",Registro!$I$5:$I$30)</f>
        <v>38</v>
      </c>
    </row>
    <row r="68" spans="2:6" ht="24" x14ac:dyDescent="0.25">
      <c r="B68" s="48" t="s">
        <v>20</v>
      </c>
      <c r="C68" s="51">
        <f>SUM(Registro!$L$5:$L$30)</f>
        <v>6263</v>
      </c>
    </row>
    <row r="69" spans="2:6" x14ac:dyDescent="0.25">
      <c r="B69" s="48" t="s">
        <v>213</v>
      </c>
      <c r="C69" s="51">
        <f>SUMIF(Registro!$E$5:$E$30,"Correctivo",Registro!$L$5:$L$30)</f>
        <v>4233</v>
      </c>
    </row>
    <row r="70" spans="2:6" x14ac:dyDescent="0.25">
      <c r="B70" s="48" t="s">
        <v>212</v>
      </c>
      <c r="C70" s="51">
        <f>C68-C69</f>
        <v>2030</v>
      </c>
    </row>
    <row r="71" spans="2:6" x14ac:dyDescent="0.25">
      <c r="B71" s="48" t="s">
        <v>220</v>
      </c>
      <c r="C71" s="49">
        <f>COUNTA('Plan Preventivo'!$A$5:$A$18)</f>
        <v>14</v>
      </c>
    </row>
    <row r="72" spans="2:6" ht="24" x14ac:dyDescent="0.25">
      <c r="B72" s="48" t="s">
        <v>214</v>
      </c>
      <c r="C72" s="49">
        <f>COUNTIF('Plan Preventivo'!$J$5:$J$18,"Vencido")</f>
        <v>2</v>
      </c>
    </row>
    <row r="74" spans="2:6" x14ac:dyDescent="0.25">
      <c r="B74" s="52" t="s">
        <v>221</v>
      </c>
      <c r="E74" s="52" t="s">
        <v>222</v>
      </c>
    </row>
    <row r="75" spans="2:6" x14ac:dyDescent="0.25">
      <c r="B75" s="53" t="s">
        <v>223</v>
      </c>
      <c r="C75" s="54">
        <f>C63</f>
        <v>17</v>
      </c>
      <c r="E75" s="53" t="s">
        <v>163</v>
      </c>
      <c r="F75" s="55">
        <f>C70</f>
        <v>2030</v>
      </c>
    </row>
    <row r="76" spans="2:6" x14ac:dyDescent="0.25">
      <c r="B76" s="53" t="s">
        <v>224</v>
      </c>
      <c r="C76" s="54">
        <f>C64</f>
        <v>9</v>
      </c>
      <c r="E76" s="53" t="s">
        <v>159</v>
      </c>
      <c r="F76" s="55">
        <f>C69</f>
        <v>4233</v>
      </c>
    </row>
    <row r="79" spans="2:6" x14ac:dyDescent="0.25">
      <c r="B79" s="52" t="s">
        <v>225</v>
      </c>
    </row>
    <row r="80" spans="2:6" x14ac:dyDescent="0.25">
      <c r="B80" s="27" t="s">
        <v>226</v>
      </c>
      <c r="C80" s="27" t="s">
        <v>227</v>
      </c>
      <c r="D80" s="27" t="s">
        <v>228</v>
      </c>
    </row>
    <row r="81" spans="2:7" x14ac:dyDescent="0.25">
      <c r="B81" s="31" t="s">
        <v>229</v>
      </c>
      <c r="C81" s="38">
        <f>SUMIFS(Registro!$L$5:$L$30,Registro!$B$5:$B$30,"&gt;="&amp;D81,Registro!$B$5:$B$30,"&lt;"&amp;D82)</f>
        <v>423</v>
      </c>
      <c r="D81" s="56">
        <v>45658</v>
      </c>
    </row>
    <row r="82" spans="2:7" x14ac:dyDescent="0.25">
      <c r="B82" s="31" t="s">
        <v>230</v>
      </c>
      <c r="C82" s="38">
        <f>SUMIFS(Registro!$L$5:$L$30,Registro!$B$5:$B$30,"&gt;="&amp;D82,Registro!$B$5:$B$30,"&lt;"&amp;D83)</f>
        <v>160</v>
      </c>
      <c r="D82" s="56">
        <v>45689</v>
      </c>
    </row>
    <row r="83" spans="2:7" x14ac:dyDescent="0.25">
      <c r="B83" s="31" t="s">
        <v>231</v>
      </c>
      <c r="C83" s="38">
        <f>SUMIFS(Registro!$L$5:$L$30,Registro!$B$5:$B$30,"&gt;="&amp;D83,Registro!$B$5:$B$30,"&lt;"&amp;D84)</f>
        <v>1388</v>
      </c>
      <c r="D83" s="56">
        <v>45717</v>
      </c>
    </row>
    <row r="84" spans="2:7" x14ac:dyDescent="0.25">
      <c r="B84" s="31" t="s">
        <v>232</v>
      </c>
      <c r="C84" s="38">
        <f>SUMIFS(Registro!$L$5:$L$30,Registro!$B$5:$B$30,"&gt;="&amp;D84,Registro!$B$5:$B$30,"&lt;"&amp;D85)</f>
        <v>488</v>
      </c>
      <c r="D84" s="56">
        <v>45748</v>
      </c>
    </row>
    <row r="85" spans="2:7" x14ac:dyDescent="0.25">
      <c r="B85" s="31" t="s">
        <v>233</v>
      </c>
      <c r="C85" s="38">
        <f>SUMIFS(Registro!$L$5:$L$30,Registro!$B$5:$B$30,"&gt;="&amp;D85,Registro!$B$5:$B$30,"&lt;"&amp;D86)</f>
        <v>1130</v>
      </c>
      <c r="D85" s="56">
        <v>45778</v>
      </c>
    </row>
    <row r="86" spans="2:7" x14ac:dyDescent="0.25">
      <c r="B86" s="31" t="s">
        <v>234</v>
      </c>
      <c r="C86" s="38">
        <f>SUMIFS(Registro!$L$5:$L$30,Registro!$B$5:$B$30,"&gt;="&amp;D86,Registro!$B$5:$B$30,"&lt;"&amp;D87)</f>
        <v>670</v>
      </c>
      <c r="D86" s="56">
        <v>45809</v>
      </c>
    </row>
    <row r="87" spans="2:7" x14ac:dyDescent="0.25">
      <c r="B87" s="31" t="s">
        <v>235</v>
      </c>
      <c r="C87" s="38">
        <f>SUMIFS(Registro!$L$5:$L$30,Registro!$B$5:$B$30,"&gt;="&amp;D87,Registro!$B$5:$B$30,"&lt;"&amp;D88)</f>
        <v>285</v>
      </c>
      <c r="D87" s="56">
        <v>45839</v>
      </c>
    </row>
    <row r="88" spans="2:7" x14ac:dyDescent="0.25">
      <c r="B88" s="31" t="s">
        <v>236</v>
      </c>
      <c r="C88" s="38">
        <f>SUMIFS(Registro!$L$5:$L$30,Registro!$B$5:$B$30,"&gt;="&amp;D88,Registro!$B$5:$B$30,"&lt;"&amp;D89)</f>
        <v>460</v>
      </c>
      <c r="D88" s="56">
        <v>45870</v>
      </c>
    </row>
    <row r="89" spans="2:7" x14ac:dyDescent="0.25">
      <c r="B89" s="31" t="s">
        <v>237</v>
      </c>
      <c r="C89" s="38">
        <f>SUMIFS(Registro!$L$5:$L$30,Registro!$B$5:$B$30,"&gt;="&amp;D89,Registro!$B$5:$B$30,"&lt;"&amp;D90)</f>
        <v>1259</v>
      </c>
      <c r="D89" s="56">
        <v>45901</v>
      </c>
    </row>
    <row r="90" spans="2:7" x14ac:dyDescent="0.25">
      <c r="B90" s="31" t="s">
        <v>238</v>
      </c>
      <c r="C90" s="38">
        <f>SUMIFS(Registro!$L$5:$L$30,Registro!$B$5:$B$30,"&gt;="&amp;D90,Registro!$B$5:$B$30,"&lt;"&amp;D91)</f>
        <v>0</v>
      </c>
      <c r="D90" s="56">
        <v>45931</v>
      </c>
    </row>
    <row r="91" spans="2:7" x14ac:dyDescent="0.25">
      <c r="B91" s="31" t="s">
        <v>239</v>
      </c>
      <c r="C91" s="38">
        <f>SUMIFS(Registro!$L$5:$L$30,Registro!$B$5:$B$30,"&gt;="&amp;D91,Registro!$B$5:$B$30,"&lt;"&amp;D92)</f>
        <v>0</v>
      </c>
      <c r="D91" s="56">
        <v>45962</v>
      </c>
    </row>
    <row r="92" spans="2:7" x14ac:dyDescent="0.25">
      <c r="B92" s="31" t="s">
        <v>240</v>
      </c>
      <c r="C92" s="38">
        <f>SUMIFS(Registro!$L$5:$L$30,Registro!$B$5:$B$30,"&gt;="&amp;D92,Registro!$B$5:$B$30,"&lt;"&amp;$D$93)</f>
        <v>0</v>
      </c>
      <c r="D92" s="56">
        <v>45992</v>
      </c>
    </row>
    <row r="93" spans="2:7" x14ac:dyDescent="0.25">
      <c r="B93" s="57" t="s">
        <v>241</v>
      </c>
      <c r="D93" s="58">
        <v>46023</v>
      </c>
    </row>
    <row r="95" spans="2:7" x14ac:dyDescent="0.25">
      <c r="B95" s="52" t="s">
        <v>242</v>
      </c>
    </row>
    <row r="96" spans="2:7" x14ac:dyDescent="0.25">
      <c r="B96" s="27" t="s">
        <v>41</v>
      </c>
      <c r="C96" s="27" t="s">
        <v>42</v>
      </c>
      <c r="D96" s="27" t="s">
        <v>147</v>
      </c>
      <c r="E96" s="27" t="s">
        <v>243</v>
      </c>
      <c r="F96" s="27" t="s">
        <v>153</v>
      </c>
      <c r="G96" s="27" t="s">
        <v>227</v>
      </c>
    </row>
    <row r="97" spans="2:7" x14ac:dyDescent="0.25">
      <c r="B97" s="59" t="str">
        <f>Activos!A5</f>
        <v>TOR-01</v>
      </c>
      <c r="C97" s="29" t="str">
        <f>Activos!B5</f>
        <v>Torno CNC</v>
      </c>
      <c r="D97" s="60">
        <f>COUNTIF(Registro!$C$5:$C$30,B97)</f>
        <v>3</v>
      </c>
      <c r="E97" s="60">
        <f>COUNTIFS(Registro!$C$5:$C$30,B97,Registro!$E$5:$E$30,"Correctivo")</f>
        <v>1</v>
      </c>
      <c r="F97" s="61">
        <f>SUMIF(Registro!$C$5:$C$30,B97,Registro!$H$5:$H$30)</f>
        <v>11</v>
      </c>
      <c r="G97" s="38">
        <f>SUMIF(Registro!$C$5:$C$30,B97,Registro!$L$5:$L$30)</f>
        <v>900</v>
      </c>
    </row>
    <row r="98" spans="2:7" x14ac:dyDescent="0.25">
      <c r="B98" s="59" t="str">
        <f>Activos!A6</f>
        <v>FRE-01</v>
      </c>
      <c r="C98" s="29" t="str">
        <f>Activos!B6</f>
        <v>Fresadora CNC</v>
      </c>
      <c r="D98" s="60">
        <f>COUNTIF(Registro!$C$5:$C$30,B98)</f>
        <v>3</v>
      </c>
      <c r="E98" s="60">
        <f>COUNTIFS(Registro!$C$5:$C$30,B98,Registro!$E$5:$E$30,"Correctivo")</f>
        <v>1</v>
      </c>
      <c r="F98" s="61">
        <f>SUMIF(Registro!$C$5:$C$30,B98,Registro!$H$5:$H$30)</f>
        <v>10</v>
      </c>
      <c r="G98" s="38">
        <f>SUMIF(Registro!$C$5:$C$30,B98,Registro!$L$5:$L$30)</f>
        <v>770</v>
      </c>
    </row>
    <row r="99" spans="2:7" ht="24" x14ac:dyDescent="0.25">
      <c r="B99" s="59" t="str">
        <f>Activos!A7</f>
        <v>CEN-01</v>
      </c>
      <c r="C99" s="29" t="str">
        <f>Activos!B7</f>
        <v>Centro de mecanizado</v>
      </c>
      <c r="D99" s="60">
        <f>COUNTIF(Registro!$C$5:$C$30,B99)</f>
        <v>3</v>
      </c>
      <c r="E99" s="60">
        <f>COUNTIFS(Registro!$C$5:$C$30,B99,Registro!$E$5:$E$30,"Correctivo")</f>
        <v>0</v>
      </c>
      <c r="F99" s="61">
        <f>SUMIF(Registro!$C$5:$C$30,B99,Registro!$H$5:$H$30)</f>
        <v>6</v>
      </c>
      <c r="G99" s="38">
        <f>SUMIF(Registro!$C$5:$C$30,B99,Registro!$L$5:$L$30)</f>
        <v>398</v>
      </c>
    </row>
    <row r="100" spans="2:7" x14ac:dyDescent="0.25">
      <c r="B100" s="59" t="str">
        <f>Activos!A8</f>
        <v>REC-01</v>
      </c>
      <c r="C100" s="29" t="str">
        <f>Activos!B8</f>
        <v>Rectificadora</v>
      </c>
      <c r="D100" s="60">
        <f>COUNTIF(Registro!$C$5:$C$30,B100)</f>
        <v>2</v>
      </c>
      <c r="E100" s="60">
        <f>COUNTIFS(Registro!$C$5:$C$30,B100,Registro!$E$5:$E$30,"Correctivo")</f>
        <v>1</v>
      </c>
      <c r="F100" s="61">
        <f>SUMIF(Registro!$C$5:$C$30,B100,Registro!$H$5:$H$30)</f>
        <v>5</v>
      </c>
      <c r="G100" s="38">
        <f>SUMIF(Registro!$C$5:$C$30,B100,Registro!$L$5:$L$30)</f>
        <v>298</v>
      </c>
    </row>
    <row r="101" spans="2:7" x14ac:dyDescent="0.25">
      <c r="B101" s="59" t="str">
        <f>Activos!A9</f>
        <v>SIE-01</v>
      </c>
      <c r="C101" s="29" t="str">
        <f>Activos!B9</f>
        <v>Sierra de cinta</v>
      </c>
      <c r="D101" s="60">
        <f>COUNTIF(Registro!$C$5:$C$30,B101)</f>
        <v>2</v>
      </c>
      <c r="E101" s="60">
        <f>COUNTIFS(Registro!$C$5:$C$30,B101,Registro!$E$5:$E$30,"Correctivo")</f>
        <v>1</v>
      </c>
      <c r="F101" s="61">
        <f>SUMIF(Registro!$C$5:$C$30,B101,Registro!$H$5:$H$30)</f>
        <v>3</v>
      </c>
      <c r="G101" s="38">
        <f>SUMIF(Registro!$C$5:$C$30,B101,Registro!$L$5:$L$30)</f>
        <v>240</v>
      </c>
    </row>
    <row r="102" spans="2:7" ht="24" x14ac:dyDescent="0.25">
      <c r="B102" s="59" t="str">
        <f>Activos!A10</f>
        <v>PRE-01</v>
      </c>
      <c r="C102" s="29" t="str">
        <f>Activos!B10</f>
        <v>Prensa hidráulica</v>
      </c>
      <c r="D102" s="60">
        <f>COUNTIF(Registro!$C$5:$C$30,B102)</f>
        <v>2</v>
      </c>
      <c r="E102" s="60">
        <f>COUNTIFS(Registro!$C$5:$C$30,B102,Registro!$E$5:$E$30,"Correctivo")</f>
        <v>2</v>
      </c>
      <c r="F102" s="61">
        <f>SUMIF(Registro!$C$5:$C$30,B102,Registro!$H$5:$H$30)</f>
        <v>28</v>
      </c>
      <c r="G102" s="38">
        <f>SUMIF(Registro!$C$5:$C$30,B102,Registro!$L$5:$L$30)</f>
        <v>2096</v>
      </c>
    </row>
    <row r="103" spans="2:7" ht="24" x14ac:dyDescent="0.25">
      <c r="B103" s="59" t="str">
        <f>Activos!A11</f>
        <v>SOL-01</v>
      </c>
      <c r="C103" s="29" t="str">
        <f>Activos!B11</f>
        <v>Equipo de soldadura MIG</v>
      </c>
      <c r="D103" s="60">
        <f>COUNTIF(Registro!$C$5:$C$30,B103)</f>
        <v>2</v>
      </c>
      <c r="E103" s="60">
        <f>COUNTIFS(Registro!$C$5:$C$30,B103,Registro!$E$5:$E$30,"Correctivo")</f>
        <v>1</v>
      </c>
      <c r="F103" s="61">
        <f>SUMIF(Registro!$C$5:$C$30,B103,Registro!$H$5:$H$30)</f>
        <v>4</v>
      </c>
      <c r="G103" s="38">
        <f>SUMIF(Registro!$C$5:$C$30,B103,Registro!$L$5:$L$30)</f>
        <v>280</v>
      </c>
    </row>
    <row r="104" spans="2:7" ht="24" x14ac:dyDescent="0.25">
      <c r="B104" s="59" t="str">
        <f>Activos!A12</f>
        <v>COM-01</v>
      </c>
      <c r="C104" s="29" t="str">
        <f>Activos!B12</f>
        <v>Compresor de aire</v>
      </c>
      <c r="D104" s="60">
        <f>COUNTIF(Registro!$C$5:$C$30,B104)</f>
        <v>3</v>
      </c>
      <c r="E104" s="60">
        <f>COUNTIFS(Registro!$C$5:$C$30,B104,Registro!$E$5:$E$30,"Correctivo")</f>
        <v>1</v>
      </c>
      <c r="F104" s="61">
        <f>SUMIF(Registro!$C$5:$C$30,B104,Registro!$H$5:$H$30)</f>
        <v>8</v>
      </c>
      <c r="G104" s="38">
        <f>SUMIF(Registro!$C$5:$C$30,B104,Registro!$L$5:$L$30)</f>
        <v>548</v>
      </c>
    </row>
    <row r="105" spans="2:7" x14ac:dyDescent="0.25">
      <c r="B105" s="59" t="str">
        <f>Activos!A13</f>
        <v>PGR-01</v>
      </c>
      <c r="C105" s="29" t="str">
        <f>Activos!B13</f>
        <v>Puente grúa 5 t</v>
      </c>
      <c r="D105" s="60">
        <f>COUNTIF(Registro!$C$5:$C$30,B105)</f>
        <v>1</v>
      </c>
      <c r="E105" s="60">
        <f>COUNTIFS(Registro!$C$5:$C$30,B105,Registro!$E$5:$E$30,"Correctivo")</f>
        <v>0</v>
      </c>
      <c r="F105" s="61">
        <f>SUMIF(Registro!$C$5:$C$30,B105,Registro!$H$5:$H$30)</f>
        <v>2</v>
      </c>
      <c r="G105" s="38">
        <f>SUMIF(Registro!$C$5:$C$30,B105,Registro!$L$5:$L$30)</f>
        <v>120</v>
      </c>
    </row>
    <row r="106" spans="2:7" ht="24" x14ac:dyDescent="0.25">
      <c r="B106" s="59" t="str">
        <f>Activos!A14</f>
        <v>CAR-01</v>
      </c>
      <c r="C106" s="29" t="str">
        <f>Activos!B14</f>
        <v>Carretilla elevadora</v>
      </c>
      <c r="D106" s="60">
        <f>COUNTIF(Registro!$C$5:$C$30,B106)</f>
        <v>3</v>
      </c>
      <c r="E106" s="60">
        <f>COUNTIFS(Registro!$C$5:$C$30,B106,Registro!$E$5:$E$30,"Correctivo")</f>
        <v>1</v>
      </c>
      <c r="F106" s="61">
        <f>SUMIF(Registro!$C$5:$C$30,B106,Registro!$H$5:$H$30)</f>
        <v>6</v>
      </c>
      <c r="G106" s="38">
        <f>SUMIF(Registro!$C$5:$C$30,B106,Registro!$L$5:$L$30)</f>
        <v>390</v>
      </c>
    </row>
    <row r="107" spans="2:7" ht="36" x14ac:dyDescent="0.25">
      <c r="B107" s="59" t="str">
        <f>Activos!A15</f>
        <v>HOR-01</v>
      </c>
      <c r="C107" s="29" t="str">
        <f>Activos!B15</f>
        <v>Horno tratamiento térmico</v>
      </c>
      <c r="D107" s="60">
        <f>COUNTIF(Registro!$C$5:$C$30,B107)</f>
        <v>1</v>
      </c>
      <c r="E107" s="60">
        <f>COUNTIFS(Registro!$C$5:$C$30,B107,Registro!$E$5:$E$30,"Correctivo")</f>
        <v>0</v>
      </c>
      <c r="F107" s="61">
        <f>SUMIF(Registro!$C$5:$C$30,B107,Registro!$H$5:$H$30)</f>
        <v>3</v>
      </c>
      <c r="G107" s="38">
        <f>SUMIF(Registro!$C$5:$C$30,B107,Registro!$L$5:$L$30)</f>
        <v>140</v>
      </c>
    </row>
    <row r="108" spans="2:7" ht="24" x14ac:dyDescent="0.25">
      <c r="B108" s="59" t="str">
        <f>Activos!A16</f>
        <v>COM-02</v>
      </c>
      <c r="C108" s="29" t="str">
        <f>Activos!B16</f>
        <v>Compresor de reserva</v>
      </c>
      <c r="D108" s="60">
        <f>COUNTIF(Registro!$C$5:$C$30,B108)</f>
        <v>1</v>
      </c>
      <c r="E108" s="60">
        <f>COUNTIFS(Registro!$C$5:$C$30,B108,Registro!$E$5:$E$30,"Correctivo")</f>
        <v>0</v>
      </c>
      <c r="F108" s="61">
        <f>SUMIF(Registro!$C$5:$C$30,B108,Registro!$H$5:$H$30)</f>
        <v>1</v>
      </c>
      <c r="G108" s="38">
        <f>SUMIF(Registro!$C$5:$C$30,B108,Registro!$L$5:$L$30)</f>
        <v>83</v>
      </c>
    </row>
  </sheetData>
  <mergeCells count="26">
    <mergeCell ref="B19:D19"/>
    <mergeCell ref="B21:E23"/>
    <mergeCell ref="B58:H58"/>
    <mergeCell ref="B14:D14"/>
    <mergeCell ref="B15:D15"/>
    <mergeCell ref="B16:D16"/>
    <mergeCell ref="B17:D17"/>
    <mergeCell ref="B18:D18"/>
    <mergeCell ref="B10:C11"/>
    <mergeCell ref="D10:E11"/>
    <mergeCell ref="F10:G11"/>
    <mergeCell ref="H10:I11"/>
    <mergeCell ref="B13:E13"/>
    <mergeCell ref="B6:C7"/>
    <mergeCell ref="D6:E7"/>
    <mergeCell ref="F6:G7"/>
    <mergeCell ref="H6:I7"/>
    <mergeCell ref="B9:C9"/>
    <mergeCell ref="D9:E9"/>
    <mergeCell ref="F9:G9"/>
    <mergeCell ref="H9:I9"/>
    <mergeCell ref="B2:K3"/>
    <mergeCell ref="B5:C5"/>
    <mergeCell ref="D5:E5"/>
    <mergeCell ref="F5:G5"/>
    <mergeCell ref="H5:I5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Portada</vt:lpstr>
      <vt:lpstr>Activos</vt:lpstr>
      <vt:lpstr>Plan Preventivo</vt:lpstr>
      <vt:lpstr>Registro</vt:lpstr>
      <vt:lpstr>Panel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2026-08-25T06:13:31Z</dcterms:created>
  <dcterms:modified xsi:type="dcterms:W3CDTF">2026-08-26T08:17:36Z</dcterms:modified>
  <dc:language>en-US</dc:language>
</cp:coreProperties>
</file>