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rtada" sheetId="1" state="visible" r:id="rId3"/>
    <sheet name="Balance" sheetId="2" state="visible" r:id="rId4"/>
    <sheet name="PyG" sheetId="3" state="visible" r:id="rId5"/>
    <sheet name="Flujo de Efectivo" sheetId="4" state="visible" r:id="rId6"/>
    <sheet name="Ratios" sheetId="5" state="visible" r:id="rId7"/>
    <sheet name="Panel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<sst xmlns="http://schemas.openxmlformats.org/spreadsheetml/2006/main" count="206" uniqueCount="186">
  <si>
    <t xml:space="preserve">ESTADOS FINANCIEROS</t>
  </si>
  <si>
    <t xml:space="preserve">Modelo integrado  ·  Balance de situación · Pérdidas y ganancias · Flujos de efectivo · Ratios</t>
  </si>
  <si>
    <t xml:space="preserve">Datos de la empresa</t>
  </si>
  <si>
    <t xml:space="preserve">Resumen del ejercicio</t>
  </si>
  <si>
    <t xml:space="preserve">Empresa</t>
  </si>
  <si>
    <t xml:space="preserve">Tostadero La Alquería, S.L.</t>
  </si>
  <si>
    <t xml:space="preserve">Cifra de negocios</t>
  </si>
  <si>
    <t xml:space="preserve">NIF</t>
  </si>
  <si>
    <t xml:space="preserve">B98765432</t>
  </si>
  <si>
    <t xml:space="preserve">EBITDA</t>
  </si>
  <si>
    <t xml:space="preserve">Domicilio social</t>
  </si>
  <si>
    <t xml:space="preserve">Camí de l'Horta, 24 · 46110 Godella (València)</t>
  </si>
  <si>
    <t xml:space="preserve">Resultado del ejercicio</t>
  </si>
  <si>
    <t xml:space="preserve">Actividad</t>
  </si>
  <si>
    <t xml:space="preserve">Tueste y comercialización de café de especialidad</t>
  </si>
  <si>
    <t xml:space="preserve">Total activo</t>
  </si>
  <si>
    <t xml:space="preserve">Ejercicio actual</t>
  </si>
  <si>
    <t xml:space="preserve">Patrimonio neto</t>
  </si>
  <si>
    <t xml:space="preserve">Ejercicio anterior</t>
  </si>
  <si>
    <t xml:space="preserve">Tesorería a cierre</t>
  </si>
  <si>
    <t xml:space="preserve">Fecha de cierre</t>
  </si>
  <si>
    <t xml:space="preserve">31/12/2025</t>
  </si>
  <si>
    <t xml:space="preserve">Comprobación de cuadre</t>
  </si>
  <si>
    <t xml:space="preserve">Moneda</t>
  </si>
  <si>
    <t xml:space="preserve">Euros (€)</t>
  </si>
  <si>
    <t xml:space="preserve">Elaborado por</t>
  </si>
  <si>
    <t xml:space="preserve">Dpto. de Administración</t>
  </si>
  <si>
    <t xml:space="preserve">Cómo usar esta plantilla</t>
  </si>
  <si>
    <t xml:space="preserve">Celdas editables</t>
  </si>
  <si>
    <t xml:space="preserve">Fondo ámbar y texto en azul. Son los únicos datos que debes introducir.</t>
  </si>
  <si>
    <t xml:space="preserve">Fórmulas</t>
  </si>
  <si>
    <t xml:space="preserve">Texto en negro. Se calculan solas; no es necesario tocarlas.</t>
  </si>
  <si>
    <t xml:space="preserve">Enlaces entre hojas</t>
  </si>
  <si>
    <t xml:space="preserve">Texto en verde. Traen datos de otra hoja del libro.</t>
  </si>
  <si>
    <t xml:space="preserve">Contenido del libro</t>
  </si>
  <si>
    <t xml:space="preserve">• Balance</t>
  </si>
  <si>
    <t xml:space="preserve">Activo, patrimonio neto y pasivo, con comparativa entre ejercicios y % vertical.</t>
  </si>
  <si>
    <t xml:space="preserve">• PyG</t>
  </si>
  <si>
    <t xml:space="preserve">Cuenta de pérdidas y ganancias: de la cifra de negocios al resultado, con EBITDA y márgenes.</t>
  </si>
  <si>
    <t xml:space="preserve">• Flujo de Efectivo</t>
  </si>
  <si>
    <t xml:space="preserve">Estado de flujos de efectivo (método indirecto). Concilia con la tesorería del balance.</t>
  </si>
  <si>
    <t xml:space="preserve">• Ratios</t>
  </si>
  <si>
    <t xml:space="preserve">Liquidez, endeudamiento, rentabilidad y actividad, con lectura automática (semáforo).</t>
  </si>
  <si>
    <t xml:space="preserve">• Panel</t>
  </si>
  <si>
    <t xml:space="preserve">Cuadro de mando visual con los indicadores y gráficos clave.</t>
  </si>
  <si>
    <t xml:space="preserve">Datos de ejemplo de una empresa ficticia. Sustituye las cifras de las celdas ámbar por las tuyas.</t>
  </si>
  <si>
    <t xml:space="preserve">BALANCE DE SITUACIÓN</t>
  </si>
  <si>
    <t xml:space="preserve">ACTIVO</t>
  </si>
  <si>
    <t xml:space="preserve">Var. €</t>
  </si>
  <si>
    <t xml:space="preserve">% s/total</t>
  </si>
  <si>
    <t xml:space="preserve">A) ACTIVO NO CORRIENTE</t>
  </si>
  <si>
    <t xml:space="preserve">Inmovilizado intangible</t>
  </si>
  <si>
    <t xml:space="preserve">Inmovilizado material</t>
  </si>
  <si>
    <t xml:space="preserve">Inversiones financieras a largo plazo</t>
  </si>
  <si>
    <t xml:space="preserve">Total activo no corriente</t>
  </si>
  <si>
    <t xml:space="preserve">B) ACTIVO CORRIENTE</t>
  </si>
  <si>
    <t xml:space="preserve">Existencias</t>
  </si>
  <si>
    <t xml:space="preserve">Deudores comerciales (clientes)</t>
  </si>
  <si>
    <t xml:space="preserve">Inversiones financieras a corto plazo</t>
  </si>
  <si>
    <t xml:space="preserve">Efectivo y otros activos líquidos</t>
  </si>
  <si>
    <t xml:space="preserve">Total activo corriente</t>
  </si>
  <si>
    <t xml:space="preserve">A) PATRIMONIO NETO</t>
  </si>
  <si>
    <t xml:space="preserve">Capital</t>
  </si>
  <si>
    <t xml:space="preserve">Reservas</t>
  </si>
  <si>
    <t xml:space="preserve">B) PASIVO NO CORRIENTE</t>
  </si>
  <si>
    <t xml:space="preserve">Deudas a largo plazo</t>
  </si>
  <si>
    <t xml:space="preserve">C) PASIVO CORRIENTE</t>
  </si>
  <si>
    <t xml:space="preserve">Deudas a corto plazo</t>
  </si>
  <si>
    <t xml:space="preserve">Acreedores comerciales (proveedores)</t>
  </si>
  <si>
    <t xml:space="preserve">Otras deudas (Hacienda y Seg. Social)</t>
  </si>
  <si>
    <t xml:space="preserve">Total pasivo corriente</t>
  </si>
  <si>
    <t xml:space="preserve">TOTAL ACTIVO</t>
  </si>
  <si>
    <t xml:space="preserve">TOTAL PATRIMONIO NETO Y PASIVO</t>
  </si>
  <si>
    <t xml:space="preserve">Comprobación:</t>
  </si>
  <si>
    <t xml:space="preserve">Fondo de maniobra = Activo corriente − Pasivo corriente</t>
  </si>
  <si>
    <t xml:space="preserve">CUENTA DE PÉRDIDAS Y GANANCIAS</t>
  </si>
  <si>
    <t xml:space="preserve">Tostadero La Alquería, S.L.  ·  Importes en euros  ·  Los gastos se registran en negativo</t>
  </si>
  <si>
    <t xml:space="preserve">CONCEPTO</t>
  </si>
  <si>
    <t xml:space="preserve">% s/ventas</t>
  </si>
  <si>
    <t xml:space="preserve">Importe neto de la cifra de negocios</t>
  </si>
  <si>
    <t xml:space="preserve">Aprovisionamientos</t>
  </si>
  <si>
    <t xml:space="preserve">Otros ingresos de explotación</t>
  </si>
  <si>
    <t xml:space="preserve">Gastos de personal</t>
  </si>
  <si>
    <t xml:space="preserve">Otros gastos de explotación</t>
  </si>
  <si>
    <t xml:space="preserve">Amortización del inmovilizado</t>
  </si>
  <si>
    <t xml:space="preserve">RESULTADO DE EXPLOTACIÓN (EBIT)</t>
  </si>
  <si>
    <t xml:space="preserve">Ingresos financieros</t>
  </si>
  <si>
    <t xml:space="preserve">Gastos financieros</t>
  </si>
  <si>
    <t xml:space="preserve">EBITDA (EBIT + amortización)</t>
  </si>
  <si>
    <t xml:space="preserve">RESULTADO FINANCIERO</t>
  </si>
  <si>
    <t xml:space="preserve">RESULTADO ANTES DE IMPUESTOS</t>
  </si>
  <si>
    <t xml:space="preserve">Impuesto sobre beneficios</t>
  </si>
  <si>
    <t xml:space="preserve">RESULTADO DEL EJERCICIO</t>
  </si>
  <si>
    <t xml:space="preserve">Tipo impositivo aplicado</t>
  </si>
  <si>
    <t xml:space="preserve">Márgenes sobre la cifra de negocios</t>
  </si>
  <si>
    <t xml:space="preserve">Margen bruto</t>
  </si>
  <si>
    <t xml:space="preserve">Margen EBITDA</t>
  </si>
  <si>
    <t xml:space="preserve">Margen de explotación (EBIT)</t>
  </si>
  <si>
    <t xml:space="preserve">Margen neto</t>
  </si>
  <si>
    <t xml:space="preserve">ESTADO DE FLUJOS DE EFECTIVO</t>
  </si>
  <si>
    <t xml:space="preserve">A) Flujos de efectivo de las actividades de explotación</t>
  </si>
  <si>
    <t xml:space="preserve">Resultado antes de impuestos</t>
  </si>
  <si>
    <t xml:space="preserve">(+) Amortización del inmovilizado</t>
  </si>
  <si>
    <t xml:space="preserve">(+) Gastos financieros</t>
  </si>
  <si>
    <t xml:space="preserve">(−) Ingresos financieros</t>
  </si>
  <si>
    <t xml:space="preserve">Resultado ajustado</t>
  </si>
  <si>
    <t xml:space="preserve">(−) Aumento de existencias</t>
  </si>
  <si>
    <t xml:space="preserve">(−) Aumento de deudores comerciales</t>
  </si>
  <si>
    <t xml:space="preserve">(+) Aumento de acreedores comerciales</t>
  </si>
  <si>
    <t xml:space="preserve">(+/−) Variación de otras deudas</t>
  </si>
  <si>
    <t xml:space="preserve">Variación del capital corriente</t>
  </si>
  <si>
    <t xml:space="preserve">(−) Pagos de intereses</t>
  </si>
  <si>
    <t xml:space="preserve">(+) Cobros de intereses</t>
  </si>
  <si>
    <t xml:space="preserve">(−) Pago del impuesto sobre beneficios</t>
  </si>
  <si>
    <t xml:space="preserve">Otros flujos de explotación</t>
  </si>
  <si>
    <t xml:space="preserve">Flujo de efectivo de explotación (A)</t>
  </si>
  <si>
    <t xml:space="preserve">B) Flujos de efectivo de las actividades de inversión</t>
  </si>
  <si>
    <t xml:space="preserve">(−) Pagos por inversión en inmovilizado</t>
  </si>
  <si>
    <t xml:space="preserve">(−) Pagos por inversiones financieras</t>
  </si>
  <si>
    <t xml:space="preserve">Flujo de efectivo de inversión (B)</t>
  </si>
  <si>
    <t xml:space="preserve">C) Flujos de efectivo de las actividades de financiación</t>
  </si>
  <si>
    <t xml:space="preserve">(+) Aumento de deudas a largo plazo</t>
  </si>
  <si>
    <t xml:space="preserve">(+) Aumento de deudas a corto plazo</t>
  </si>
  <si>
    <t xml:space="preserve">(−) Dividendos pagados</t>
  </si>
  <si>
    <t xml:space="preserve">Flujo de efectivo de financiación (C)</t>
  </si>
  <si>
    <t xml:space="preserve">VARIACIÓN NETA DE TESORERÍA (A+B+C)</t>
  </si>
  <si>
    <t xml:space="preserve">Tesorería al inicio del ejercicio</t>
  </si>
  <si>
    <t xml:space="preserve">Tesorería al cierre del ejercicio</t>
  </si>
  <si>
    <t xml:space="preserve">ANÁLISIS DE RATIOS</t>
  </si>
  <si>
    <t xml:space="preserve">Calculados automáticamente a partir del Balance y de la cuenta de PyG</t>
  </si>
  <si>
    <t xml:space="preserve">RATIO</t>
  </si>
  <si>
    <t xml:space="preserve">Referencia</t>
  </si>
  <si>
    <t xml:space="preserve">Lectura automática</t>
  </si>
  <si>
    <t xml:space="preserve">Liquidez</t>
  </si>
  <si>
    <t xml:space="preserve">Ratio de liquidez (corriente)</t>
  </si>
  <si>
    <t xml:space="preserve">&gt; 1,5</t>
  </si>
  <si>
    <t xml:space="preserve">Prueba ácida (test rápido)</t>
  </si>
  <si>
    <t xml:space="preserve">≈ 1</t>
  </si>
  <si>
    <t xml:space="preserve">Ratio de tesorería</t>
  </si>
  <si>
    <t xml:space="preserve">0,3 - 0,5</t>
  </si>
  <si>
    <t xml:space="preserve">Fondo de maniobra (€)</t>
  </si>
  <si>
    <t xml:space="preserve">&gt; 0</t>
  </si>
  <si>
    <t xml:space="preserve">Endeudamiento y solvencia</t>
  </si>
  <si>
    <t xml:space="preserve">Ratio de endeudamiento</t>
  </si>
  <si>
    <t xml:space="preserve">40% - 60%</t>
  </si>
  <si>
    <t xml:space="preserve">Autonomía financiera</t>
  </si>
  <si>
    <t xml:space="preserve">&gt; 40%</t>
  </si>
  <si>
    <t xml:space="preserve">Ratio de solvencia</t>
  </si>
  <si>
    <t xml:space="preserve">Cobertura de intereses</t>
  </si>
  <si>
    <t xml:space="preserve">&gt; 3x</t>
  </si>
  <si>
    <t xml:space="preserve">Rentabilidad</t>
  </si>
  <si>
    <t xml:space="preserve">sector</t>
  </si>
  <si>
    <t xml:space="preserve">ROA (rent. económica)</t>
  </si>
  <si>
    <t xml:space="preserve">&gt; coste deuda</t>
  </si>
  <si>
    <t xml:space="preserve">ROE (rent. financiera)</t>
  </si>
  <si>
    <t xml:space="preserve">&gt; ROA</t>
  </si>
  <si>
    <t xml:space="preserve">Actividad (rotaciones y plazos)</t>
  </si>
  <si>
    <t xml:space="preserve">Rotación de activos</t>
  </si>
  <si>
    <t xml:space="preserve">Periodo medio de cobro</t>
  </si>
  <si>
    <t xml:space="preserve">&lt; 60 días</t>
  </si>
  <si>
    <t xml:space="preserve">Periodo medio de pago</t>
  </si>
  <si>
    <t xml:space="preserve">&gt; cobro</t>
  </si>
  <si>
    <t xml:space="preserve">Rotación de existencias</t>
  </si>
  <si>
    <t xml:space="preserve">PANEL DE CONTROL FINANCIERO</t>
  </si>
  <si>
    <t xml:space="preserve">Indicadores clave</t>
  </si>
  <si>
    <t xml:space="preserve">Liquidez corriente</t>
  </si>
  <si>
    <t xml:space="preserve">Endeudamiento</t>
  </si>
  <si>
    <t xml:space="preserve">ROE</t>
  </si>
  <si>
    <t xml:space="preserve">Evolución interanual</t>
  </si>
  <si>
    <t xml:space="preserve">Rentabilidad y márgenes</t>
  </si>
  <si>
    <t xml:space="preserve">Composición del activo</t>
  </si>
  <si>
    <t xml:space="preserve">Estructura financiera (PN y pasivo)</t>
  </si>
  <si>
    <t xml:space="preserve">Datos de los gráficos (calculados, no modificar)</t>
  </si>
  <si>
    <t xml:space="preserve">Composición activo</t>
  </si>
  <si>
    <t xml:space="preserve">Estructura financiera</t>
  </si>
  <si>
    <t xml:space="preserve">Activo no corriente</t>
  </si>
  <si>
    <t xml:space="preserve">Pasivo no corriente</t>
  </si>
  <si>
    <t xml:space="preserve">Resultado</t>
  </si>
  <si>
    <t xml:space="preserve">Deudores</t>
  </si>
  <si>
    <t xml:space="preserve">Pasivo corriente</t>
  </si>
  <si>
    <t xml:space="preserve">Tesorería e IFT</t>
  </si>
  <si>
    <t xml:space="preserve">Márgenes</t>
  </si>
  <si>
    <t xml:space="preserve">M. bruto</t>
  </si>
  <si>
    <t xml:space="preserve">M. EBITDA</t>
  </si>
  <si>
    <t xml:space="preserve">M. explot.</t>
  </si>
  <si>
    <t xml:space="preserve">M. neto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</si>
</sst>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&quot; €&quot;;\(#,##0&quot; €)&quot;;\-"/>
    <numFmt numFmtId="166" formatCode="0"/>
    <numFmt numFmtId="167" formatCode="0.0%;\(0.0%\);\-"/>
    <numFmt numFmtId="168" formatCode="0.00"/>
    <numFmt numFmtId="169" formatCode="0.00\x"/>
    <numFmt numFmtId="170" formatCode="0&quot; días&quot;"/>
    <numFmt numFmtId="171" formatCode="#,##0"/>
    <numFmt numFmtId="172" formatCode="0%"/>
  </numFmts>
  <fonts count="3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10"/>
      <color rgb="FF404040"/>
      <name val="Arial"/>
      <family val="0"/>
      <charset val="1"/>
    </font>
    <font>
      <b val="true"/>
      <sz val="10.5"/>
      <color rgb="FFFFFFFF"/>
      <name val="Arial"/>
      <family val="0"/>
      <charset val="1"/>
    </font>
    <font>
      <b val="true"/>
      <sz val="10"/>
      <color rgb="FF40404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404040"/>
      <name val="Arial"/>
      <family val="0"/>
      <charset val="1"/>
    </font>
    <font>
      <b val="true"/>
      <sz val="10"/>
      <color rgb="FF008000"/>
      <name val="Arial"/>
      <family val="0"/>
      <charset val="1"/>
    </font>
    <font>
      <b val="true"/>
      <sz val="9.5"/>
      <color rgb="FF0000FF"/>
      <name val="Arial"/>
      <family val="0"/>
      <charset val="1"/>
    </font>
    <font>
      <sz val="9.5"/>
      <color rgb="FF404040"/>
      <name val="Arial"/>
      <family val="0"/>
      <charset val="1"/>
    </font>
    <font>
      <b val="true"/>
      <sz val="9.5"/>
      <color rgb="FF000000"/>
      <name val="Arial"/>
      <family val="0"/>
      <charset val="1"/>
    </font>
    <font>
      <b val="true"/>
      <sz val="9.5"/>
      <color rgb="FF008000"/>
      <name val="Arial"/>
      <family val="0"/>
      <charset val="1"/>
    </font>
    <font>
      <b val="true"/>
      <sz val="10"/>
      <color rgb="FF2E5496"/>
      <name val="Arial"/>
      <family val="0"/>
      <charset val="1"/>
    </font>
    <font>
      <b val="true"/>
      <sz val="9.5"/>
      <color rgb="FF404040"/>
      <name val="Arial"/>
      <family val="0"/>
      <charset val="1"/>
    </font>
    <font>
      <i val="true"/>
      <sz val="8.5"/>
      <color rgb="FF808080"/>
      <name val="Arial"/>
      <family val="0"/>
      <charset val="1"/>
    </font>
    <font>
      <i val="true"/>
      <sz val="9.5"/>
      <color rgb="FF404040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9"/>
      <color rgb="FF404040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i val="true"/>
      <sz val="9"/>
      <color rgb="FF404040"/>
      <name val="Arial"/>
      <family val="0"/>
      <charset val="1"/>
    </font>
    <font>
      <sz val="9.5"/>
      <color rgb="FF0000FF"/>
      <name val="Arial"/>
      <family val="0"/>
      <charset val="1"/>
    </font>
    <font>
      <sz val="9.5"/>
      <color rgb="FF000000"/>
      <name val="Arial"/>
      <family val="0"/>
      <charset val="1"/>
    </font>
    <font>
      <b val="true"/>
      <sz val="15"/>
      <color rgb="FF1F3864"/>
      <name val="Arial"/>
      <family val="0"/>
      <charset val="1"/>
    </font>
    <font>
      <b val="true"/>
      <sz val="8.5"/>
      <color rgb="FF404040"/>
      <name val="Arial"/>
      <family val="0"/>
      <charset val="1"/>
    </font>
    <font>
      <sz val="8.5"/>
      <color rgb="FF000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F3864"/>
        <bgColor rgb="FF404040"/>
      </patternFill>
    </fill>
    <fill>
      <patternFill patternType="solid">
        <fgColor rgb="FF2E5496"/>
        <bgColor rgb="FF1F3864"/>
      </patternFill>
    </fill>
    <fill>
      <patternFill patternType="solid">
        <fgColor rgb="FFFFF2CC"/>
        <bgColor rgb="FFF9F9F9"/>
      </patternFill>
    </fill>
    <fill>
      <patternFill patternType="solid">
        <fgColor rgb="FFFFFFFF"/>
        <bgColor rgb="FFF9F9F9"/>
      </patternFill>
    </fill>
    <fill>
      <patternFill patternType="solid">
        <fgColor rgb="FFD6E4F0"/>
        <bgColor rgb="FFD9D9D9"/>
      </patternFill>
    </fill>
    <fill>
      <patternFill patternType="solid">
        <fgColor rgb="FFEAF1F9"/>
        <bgColor rgb="FFF9F9F9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/>
      <right/>
      <top/>
      <bottom style="thin">
        <color rgb="FFBFBFBF"/>
      </bottom>
      <diagonal/>
    </border>
    <border diagonalUp="false" diagonalDown="false">
      <left/>
      <right/>
      <top style="medium">
        <color rgb="FF1F3864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5" fontId="10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2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5" fontId="8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20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21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2" fillId="6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5" fontId="22" fillId="6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21" fillId="6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23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4" fillId="2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24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5" fontId="13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2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27" fillId="6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5" fillId="7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5" fontId="22" fillId="7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27" fillId="7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2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27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7" fontId="2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67" fontId="13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0" fillId="7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8" fontId="22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6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0" fillId="7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20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8" fontId="2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0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5" fontId="2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2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22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22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2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22" fillId="7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2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1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8" fontId="10" fillId="7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0" fillId="7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3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3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C0504D"/>
      <rgbColor rgb="FFFFF2CC"/>
      <rgbColor rgb="FFEAF1F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4F0"/>
      <rgbColor rgb="FFF9F9F9"/>
      <rgbColor rgb="FFFFFF99"/>
      <rgbColor rgb="FF99CCFF"/>
      <rgbColor rgb="FFFF99CC"/>
      <rgbColor rgb="FFCC99FF"/>
      <rgbColor rgb="FFFFCC99"/>
      <rgbColor rgb="FF4F81BD"/>
      <rgbColor rgb="FF33CCCC"/>
      <rgbColor rgb="FF9BBB59"/>
      <rgbColor rgb="FFFFCC00"/>
      <rgbColor rgb="FFFF9900"/>
      <rgbColor rgb="FFFF6600"/>
      <rgbColor rgb="FF8064A2"/>
      <rgbColor rgb="FF878787"/>
      <rgbColor rgb="FF1F3864"/>
      <rgbColor rgb="FF339966"/>
      <rgbColor rgb="FF003300"/>
      <rgbColor rgb="FF333300"/>
      <rgbColor rgb="FF993300"/>
      <rgbColor rgb="FF993366"/>
      <rgbColor rgb="FF2E5496"/>
      <rgbColor rgb="FF40404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Ingresos, EBITDA y resultado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Panel!C41</c:f>
              <c:strCache>
                <c:ptCount val="1"/>
                <c:pt idx="0">
                  <c:v>Ejer. 2024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Panel!$B$42:$B$44</c:f>
              <c:strCache>
                <c:ptCount val="3"/>
                <c:pt idx="0">
                  <c:v>Cifra de negocios</c:v>
                </c:pt>
                <c:pt idx="1">
                  <c:v>EBITDA</c:v>
                </c:pt>
                <c:pt idx="2">
                  <c:v>Resultado</c:v>
                </c:pt>
              </c:strCache>
            </c:strRef>
          </c:cat>
          <c:val>
            <c:numRef>
              <c:f>Panel!$C$42:$C$44</c:f>
              <c:numCache>
                <c:formatCode>#,##0" €";\(#,##0" €)";\-</c:formatCode>
                <c:ptCount val="3"/>
                <c:pt idx="0">
                  <c:v>458000</c:v>
                </c:pt>
                <c:pt idx="1">
                  <c:v>36500</c:v>
                </c:pt>
                <c:pt idx="2">
                  <c:v>9000</c:v>
                </c:pt>
              </c:numCache>
            </c:numRef>
          </c:val>
        </c:ser>
        <c:ser>
          <c:idx val="1"/>
          <c:order val="1"/>
          <c:tx>
            <c:strRef>
              <c:f>Panel!D41</c:f>
              <c:strCache>
                <c:ptCount val="1"/>
                <c:pt idx="0">
                  <c:v>Ejer. 2025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Panel!$B$42:$B$44</c:f>
              <c:strCache>
                <c:ptCount val="3"/>
                <c:pt idx="0">
                  <c:v>Cifra de negocios</c:v>
                </c:pt>
                <c:pt idx="1">
                  <c:v>EBITDA</c:v>
                </c:pt>
                <c:pt idx="2">
                  <c:v>Resultado</c:v>
                </c:pt>
              </c:strCache>
            </c:strRef>
          </c:cat>
          <c:val>
            <c:numRef>
              <c:f>Panel!$D$42:$D$44</c:f>
              <c:numCache>
                <c:formatCode>#,##0" €";\(#,##0" €)";\-</c:formatCode>
                <c:ptCount val="3"/>
                <c:pt idx="0">
                  <c:v>520000</c:v>
                </c:pt>
                <c:pt idx="1">
                  <c:v>50000</c:v>
                </c:pt>
                <c:pt idx="2">
                  <c:v>18000</c:v>
                </c:pt>
              </c:numCache>
            </c:numRef>
          </c:val>
        </c:ser>
        <c:gapWidth val="60"/>
        <c:overlap val="0"/>
        <c:axId val="76004652"/>
        <c:axId val="45580776"/>
      </c:barChart>
      <c:catAx>
        <c:axId val="760046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5580776"/>
        <c:crosses val="autoZero"/>
        <c:auto val="1"/>
        <c:lblAlgn val="ctr"/>
        <c:lblOffset val="100"/>
        <c:noMultiLvlLbl val="0"/>
      </c:catAx>
      <c:valAx>
        <c:axId val="4558077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600465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Márgenes s/ ventas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Panel!$B$48:$B$51</c:f>
              <c:strCache>
                <c:ptCount val="4"/>
                <c:pt idx="0">
                  <c:v>M. bruto</c:v>
                </c:pt>
                <c:pt idx="1">
                  <c:v>M. EBITDA</c:v>
                </c:pt>
                <c:pt idx="2">
                  <c:v>M. explot.</c:v>
                </c:pt>
                <c:pt idx="3">
                  <c:v>M. neto</c:v>
                </c:pt>
              </c:strCache>
            </c:strRef>
          </c:cat>
          <c:val>
            <c:numRef>
              <c:f>Panel!$C$48:$C$51</c:f>
              <c:numCache>
                <c:formatCode>0.0%;\(0.0%\);\-</c:formatCode>
                <c:ptCount val="4"/>
                <c:pt idx="0">
                  <c:v>0.596153846153846</c:v>
                </c:pt>
                <c:pt idx="1">
                  <c:v>0.0961538461538462</c:v>
                </c:pt>
                <c:pt idx="2">
                  <c:v>0.0538461538461539</c:v>
                </c:pt>
                <c:pt idx="3">
                  <c:v>0.0346153846153846</c:v>
                </c:pt>
              </c:numCache>
            </c:numRef>
          </c:val>
        </c:ser>
        <c:gapWidth val="60"/>
        <c:overlap val="0"/>
        <c:axId val="83064015"/>
        <c:axId val="21162514"/>
      </c:barChart>
      <c:catAx>
        <c:axId val="830640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21162514"/>
        <c:crosses val="autoZero"/>
        <c:auto val="1"/>
        <c:lblAlgn val="ctr"/>
        <c:lblOffset val="100"/>
        <c:noMultiLvlLbl val="0"/>
      </c:catAx>
      <c:valAx>
        <c:axId val="2116251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3064015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064a2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eparator>
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eparator>
</c:separator>
            <c:showLeaderLines val="1"/>
          </c:dLbls>
          <c:cat>
            <c:strRef>
              <c:f>Panel!$F$42:$F$45</c:f>
              <c:strCache>
                <c:ptCount val="4"/>
                <c:pt idx="0">
                  <c:v>Activo no corriente</c:v>
                </c:pt>
                <c:pt idx="1">
                  <c:v>Existencias</c:v>
                </c:pt>
                <c:pt idx="2">
                  <c:v>Deudores</c:v>
                </c:pt>
                <c:pt idx="3">
                  <c:v>Tesorería e IFT</c:v>
                </c:pt>
              </c:strCache>
            </c:strRef>
          </c:cat>
          <c:val>
            <c:numRef>
              <c:f>Panel!$G$42:$G$45</c:f>
              <c:numCache>
                <c:formatCode>#,##0" €";\(#,##0" €)";\-</c:formatCode>
                <c:ptCount val="4"/>
                <c:pt idx="0">
                  <c:v>132000</c:v>
                </c:pt>
                <c:pt idx="1">
                  <c:v>65000</c:v>
                </c:pt>
                <c:pt idx="2">
                  <c:v>48000</c:v>
                </c:pt>
                <c:pt idx="3">
                  <c:v>62000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autoTitleDeleted val="1"/>
    <c:plotArea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eparator>
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eparator>
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eparator>
</c:separator>
            <c:showLeaderLines val="1"/>
          </c:dLbls>
          <c:cat>
            <c:strRef>
              <c:f>Panel!$H$42:$H$44</c:f>
              <c:strCache>
                <c:ptCount val="3"/>
                <c:pt idx="0">
                  <c:v>Patrimonio neto</c:v>
                </c:pt>
                <c:pt idx="1">
                  <c:v>Pasivo no corriente</c:v>
                </c:pt>
                <c:pt idx="2">
                  <c:v>Pasivo corriente</c:v>
                </c:pt>
              </c:strCache>
            </c:strRef>
          </c:cat>
          <c:val>
            <c:numRef>
              <c:f>Panel!$I$42:$I$44</c:f>
              <c:numCache>
                <c:formatCode>#,##0" €";\(#,##0" €)";\-</c:formatCode>
                <c:ptCount val="3"/>
                <c:pt idx="0">
                  <c:v>163000</c:v>
                </c:pt>
                <c:pt idx="1">
                  <c:v>70000</c:v>
                </c:pt>
                <c:pt idx="2">
                  <c:v>74000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11</xdr:row>
      <xdr:rowOff>0</xdr:rowOff>
    </xdr:from>
    <xdr:to>
      <xdr:col>4</xdr:col>
      <xdr:colOff>662040</xdr:colOff>
      <xdr:row>26</xdr:row>
      <xdr:rowOff>21960</xdr:rowOff>
    </xdr:to>
    <xdr:graphicFrame>
      <xdr:nvGraphicFramePr>
        <xdr:cNvPr id="0" name="Chart 1"/>
        <xdr:cNvGraphicFramePr/>
      </xdr:nvGraphicFramePr>
      <xdr:xfrm>
        <a:off x="141120" y="2476440"/>
        <a:ext cx="467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11</xdr:row>
      <xdr:rowOff>0</xdr:rowOff>
    </xdr:from>
    <xdr:to>
      <xdr:col>9</xdr:col>
      <xdr:colOff>98280</xdr:colOff>
      <xdr:row>26</xdr:row>
      <xdr:rowOff>21960</xdr:rowOff>
    </xdr:to>
    <xdr:graphicFrame>
      <xdr:nvGraphicFramePr>
        <xdr:cNvPr id="1" name="Chart 2"/>
        <xdr:cNvGraphicFramePr/>
      </xdr:nvGraphicFramePr>
      <xdr:xfrm>
        <a:off x="5074920" y="2476440"/>
        <a:ext cx="467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28</xdr:row>
      <xdr:rowOff>0</xdr:rowOff>
    </xdr:from>
    <xdr:to>
      <xdr:col>4</xdr:col>
      <xdr:colOff>662040</xdr:colOff>
      <xdr:row>42</xdr:row>
      <xdr:rowOff>32760</xdr:rowOff>
    </xdr:to>
    <xdr:graphicFrame>
      <xdr:nvGraphicFramePr>
        <xdr:cNvPr id="2" name="Chart 3"/>
        <xdr:cNvGraphicFramePr/>
      </xdr:nvGraphicFramePr>
      <xdr:xfrm>
        <a:off x="141120" y="5772240"/>
        <a:ext cx="467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28</xdr:row>
      <xdr:rowOff>0</xdr:rowOff>
    </xdr:from>
    <xdr:to>
      <xdr:col>9</xdr:col>
      <xdr:colOff>98280</xdr:colOff>
      <xdr:row>42</xdr:row>
      <xdr:rowOff>32760</xdr:rowOff>
    </xdr:to>
    <xdr:graphicFrame>
      <xdr:nvGraphicFramePr>
        <xdr:cNvPr id="3" name="Chart 4"/>
        <xdr:cNvGraphicFramePr/>
      </xdr:nvGraphicFramePr>
      <xdr:xfrm>
        <a:off x="5074920" y="5772240"/>
        <a:ext cx="467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F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4" min="3" style="0" width="22"/>
    <col collapsed="false" customWidth="true" hidden="false" outlineLevel="0" max="5" min="5" style="0" width="20"/>
    <col collapsed="false" customWidth="true" hidden="false" outlineLevel="0" max="6" min="6" style="0" width="18"/>
    <col collapsed="false" customWidth="true" hidden="false" outlineLevel="0" max="7" min="7" style="0" width="2"/>
  </cols>
  <sheetData>
    <row r="2" customFormat="false" ht="25.5" hidden="false" customHeight="true" outlineLevel="0" collapsed="false">
      <c r="B2" s="1" t="s">
        <v>0</v>
      </c>
      <c r="C2" s="1"/>
      <c r="D2" s="1"/>
      <c r="E2" s="1"/>
      <c r="F2" s="1"/>
    </row>
    <row r="3" customFormat="false" ht="18" hidden="false" customHeight="true" outlineLevel="0" collapsed="false">
      <c r="B3" s="2" t="s">
        <v>1</v>
      </c>
      <c r="C3" s="2"/>
      <c r="D3" s="2"/>
      <c r="E3" s="2"/>
      <c r="F3" s="2"/>
    </row>
    <row r="5" customFormat="false" ht="19.5" hidden="false" customHeight="true" outlineLevel="0" collapsed="false">
      <c r="B5" s="3" t="s">
        <v>2</v>
      </c>
      <c r="C5" s="3"/>
      <c r="D5" s="3"/>
      <c r="E5" s="3" t="s">
        <v>3</v>
      </c>
      <c r="F5" s="3"/>
    </row>
    <row r="6" customFormat="false" ht="18" hidden="false" customHeight="true" outlineLevel="0" collapsed="false">
      <c r="B6" s="4" t="s">
        <v>4</v>
      </c>
      <c r="C6" s="5" t="s">
        <v>5</v>
      </c>
      <c r="D6" s="5"/>
      <c r="E6" s="6" t="s">
        <v>6</v>
      </c>
      <c r="F6" s="7" t="n">
        <f aca="false">PyG!C7</f>
        <v>520000</v>
      </c>
    </row>
    <row r="7" customFormat="false" ht="18" hidden="false" customHeight="true" outlineLevel="0" collapsed="false">
      <c r="B7" s="4" t="s">
        <v>7</v>
      </c>
      <c r="C7" s="5" t="s">
        <v>8</v>
      </c>
      <c r="D7" s="5"/>
      <c r="E7" s="6" t="s">
        <v>9</v>
      </c>
      <c r="F7" s="7" t="n">
        <f aca="false">PyG!C16</f>
        <v>50000</v>
      </c>
    </row>
    <row r="8" customFormat="false" ht="18" hidden="false" customHeight="true" outlineLevel="0" collapsed="false">
      <c r="B8" s="4" t="s">
        <v>10</v>
      </c>
      <c r="C8" s="5" t="s">
        <v>11</v>
      </c>
      <c r="D8" s="5"/>
      <c r="E8" s="6" t="s">
        <v>12</v>
      </c>
      <c r="F8" s="7" t="n">
        <f aca="false">PyG!C20</f>
        <v>18000</v>
      </c>
    </row>
    <row r="9" customFormat="false" ht="18" hidden="false" customHeight="true" outlineLevel="0" collapsed="false">
      <c r="B9" s="4" t="s">
        <v>13</v>
      </c>
      <c r="C9" s="5" t="s">
        <v>14</v>
      </c>
      <c r="D9" s="5"/>
      <c r="E9" s="6" t="s">
        <v>15</v>
      </c>
      <c r="F9" s="7" t="n">
        <f aca="false">Balance!C30</f>
        <v>307000</v>
      </c>
    </row>
    <row r="10" customFormat="false" ht="18" hidden="false" customHeight="true" outlineLevel="0" collapsed="false">
      <c r="B10" s="4" t="s">
        <v>16</v>
      </c>
      <c r="C10" s="8" t="n">
        <v>2025</v>
      </c>
      <c r="D10" s="8"/>
      <c r="E10" s="6" t="s">
        <v>17</v>
      </c>
      <c r="F10" s="7" t="n">
        <f aca="false">Balance!C19</f>
        <v>163000</v>
      </c>
    </row>
    <row r="11" customFormat="false" ht="18" hidden="false" customHeight="true" outlineLevel="0" collapsed="false">
      <c r="B11" s="4" t="s">
        <v>18</v>
      </c>
      <c r="C11" s="8" t="n">
        <v>2024</v>
      </c>
      <c r="D11" s="8"/>
      <c r="E11" s="6" t="s">
        <v>19</v>
      </c>
      <c r="F11" s="7" t="n">
        <f aca="false">Balance!C15</f>
        <v>52000</v>
      </c>
    </row>
    <row r="12" customFormat="false" ht="18" hidden="false" customHeight="true" outlineLevel="0" collapsed="false">
      <c r="B12" s="4" t="s">
        <v>20</v>
      </c>
      <c r="C12" s="5" t="s">
        <v>21</v>
      </c>
      <c r="D12" s="5"/>
      <c r="E12" s="4" t="s">
        <v>22</v>
      </c>
      <c r="F12" s="9" t="str">
        <f aca="false">IF(ROUND(Balance!C30-Balance!C31,2)=0,"Balance cuadrado","Revisar: descuadre")</f>
        <v>Balance cuadrado</v>
      </c>
    </row>
    <row r="13" customFormat="false" ht="18" hidden="false" customHeight="true" outlineLevel="0" collapsed="false">
      <c r="B13" s="4" t="s">
        <v>23</v>
      </c>
      <c r="C13" s="5" t="s">
        <v>24</v>
      </c>
      <c r="D13" s="5"/>
    </row>
    <row r="14" customFormat="false" ht="18" hidden="false" customHeight="true" outlineLevel="0" collapsed="false">
      <c r="B14" s="4" t="s">
        <v>25</v>
      </c>
      <c r="C14" s="5" t="s">
        <v>26</v>
      </c>
      <c r="D14" s="5"/>
    </row>
    <row r="17" customFormat="false" ht="19.5" hidden="false" customHeight="true" outlineLevel="0" collapsed="false">
      <c r="B17" s="3" t="s">
        <v>27</v>
      </c>
      <c r="C17" s="3"/>
      <c r="D17" s="3"/>
      <c r="E17" s="3"/>
      <c r="F17" s="3"/>
    </row>
    <row r="18" customFormat="false" ht="15.75" hidden="false" customHeight="true" outlineLevel="0" collapsed="false">
      <c r="B18" s="10" t="s">
        <v>28</v>
      </c>
      <c r="C18" s="11" t="s">
        <v>29</v>
      </c>
      <c r="D18" s="11"/>
      <c r="E18" s="11"/>
      <c r="F18" s="11"/>
    </row>
    <row r="19" customFormat="false" ht="15.75" hidden="false" customHeight="true" outlineLevel="0" collapsed="false">
      <c r="B19" s="12" t="s">
        <v>30</v>
      </c>
      <c r="C19" s="11" t="s">
        <v>31</v>
      </c>
      <c r="D19" s="11"/>
      <c r="E19" s="11"/>
      <c r="F19" s="11"/>
    </row>
    <row r="20" customFormat="false" ht="15.75" hidden="false" customHeight="true" outlineLevel="0" collapsed="false">
      <c r="B20" s="13" t="s">
        <v>32</v>
      </c>
      <c r="C20" s="11" t="s">
        <v>33</v>
      </c>
      <c r="D20" s="11"/>
      <c r="E20" s="11"/>
      <c r="F20" s="11"/>
    </row>
    <row r="22" customFormat="false" ht="15" hidden="false" customHeight="false" outlineLevel="0" collapsed="false">
      <c r="B22" s="14" t="s">
        <v>34</v>
      </c>
    </row>
    <row r="23" customFormat="false" ht="15" hidden="false" customHeight="true" outlineLevel="0" collapsed="false">
      <c r="B23" s="15" t="s">
        <v>35</v>
      </c>
      <c r="C23" s="11" t="s">
        <v>36</v>
      </c>
      <c r="D23" s="11"/>
      <c r="E23" s="11"/>
      <c r="F23" s="11"/>
    </row>
    <row r="24" customFormat="false" ht="15" hidden="false" customHeight="true" outlineLevel="0" collapsed="false">
      <c r="B24" s="15" t="s">
        <v>37</v>
      </c>
      <c r="C24" s="11" t="s">
        <v>38</v>
      </c>
      <c r="D24" s="11"/>
      <c r="E24" s="11"/>
      <c r="F24" s="11"/>
    </row>
    <row r="25" customFormat="false" ht="15" hidden="false" customHeight="true" outlineLevel="0" collapsed="false">
      <c r="B25" s="15" t="s">
        <v>39</v>
      </c>
      <c r="C25" s="11" t="s">
        <v>40</v>
      </c>
      <c r="D25" s="11"/>
      <c r="E25" s="11"/>
      <c r="F25" s="11"/>
    </row>
    <row r="26" customFormat="false" ht="15" hidden="false" customHeight="true" outlineLevel="0" collapsed="false">
      <c r="B26" s="15" t="s">
        <v>41</v>
      </c>
      <c r="C26" s="11" t="s">
        <v>42</v>
      </c>
      <c r="D26" s="11"/>
      <c r="E26" s="11"/>
      <c r="F26" s="11"/>
    </row>
    <row r="27" customFormat="false" ht="15" hidden="false" customHeight="true" outlineLevel="0" collapsed="false">
      <c r="B27" s="15" t="s">
        <v>43</v>
      </c>
      <c r="C27" s="11" t="s">
        <v>44</v>
      </c>
      <c r="D27" s="11"/>
      <c r="E27" s="11"/>
      <c r="F27" s="11"/>
    </row>
    <row r="29" customFormat="false" ht="15" hidden="false" customHeight="false" outlineLevel="0" collapsed="false">
      <c r="B29" s="16" t="s">
        <v>45</v>
      </c>
      <c r="C29" s="16"/>
      <c r="D29" s="16"/>
      <c r="E29" s="16"/>
      <c r="F29" s="16"/>
    </row>
  </sheetData>
  <mergeCells count="23">
    <mergeCell ref="B2:F2"/>
    <mergeCell ref="B3:F3"/>
    <mergeCell ref="B5:D5"/>
    <mergeCell ref="E5:F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B17:F17"/>
    <mergeCell ref="C18:F18"/>
    <mergeCell ref="C19:F19"/>
    <mergeCell ref="C20:F20"/>
    <mergeCell ref="C23:F23"/>
    <mergeCell ref="C24:F24"/>
    <mergeCell ref="C25:F25"/>
    <mergeCell ref="C26:F26"/>
    <mergeCell ref="C27:F27"/>
    <mergeCell ref="B29:F29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F3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2"/>
    <col collapsed="false" customWidth="true" hidden="false" outlineLevel="0" max="4" min="3" style="0" width="16"/>
    <col collapsed="false" customWidth="true" hidden="false" outlineLevel="0" max="5" min="5" style="0" width="15"/>
    <col collapsed="false" customWidth="true" hidden="false" outlineLevel="0" max="6" min="6" style="0" width="11"/>
    <col collapsed="false" customWidth="true" hidden="false" outlineLevel="0" max="7" min="7" style="0" width="2"/>
  </cols>
  <sheetData>
    <row r="2" customFormat="false" ht="25.5" hidden="false" customHeight="true" outlineLevel="0" collapsed="false">
      <c r="B2" s="1" t="s">
        <v>46</v>
      </c>
      <c r="C2" s="1"/>
      <c r="D2" s="1"/>
      <c r="E2" s="1"/>
      <c r="F2" s="1"/>
    </row>
    <row r="3" customFormat="false" ht="15" hidden="false" customHeight="true" outlineLevel="0" collapsed="false">
      <c r="B3" s="17" t="str">
        <f aca="false">"Tostadero La Alquería, S.L.  ·  Importes en euros"</f>
        <v>Tostadero La Alquería, S.L.  ·  Importes en euros</v>
      </c>
      <c r="C3" s="17"/>
      <c r="D3" s="17"/>
      <c r="E3" s="17"/>
      <c r="F3" s="17"/>
    </row>
    <row r="5" customFormat="false" ht="21.75" hidden="false" customHeight="true" outlineLevel="0" collapsed="false">
      <c r="B5" s="18" t="s">
        <v>47</v>
      </c>
      <c r="C5" s="19" t="str">
        <f aca="false">"Ejercicio "&amp;Portada!$C$10</f>
        <v>Ejercicio 2025</v>
      </c>
      <c r="D5" s="19" t="str">
        <f aca="false">"Ejercicio "&amp;Portada!$C$11</f>
        <v>Ejercicio 2024</v>
      </c>
      <c r="E5" s="19" t="s">
        <v>48</v>
      </c>
      <c r="F5" s="19" t="s">
        <v>49</v>
      </c>
    </row>
    <row r="6" customFormat="false" ht="19.5" hidden="false" customHeight="true" outlineLevel="0" collapsed="false">
      <c r="B6" s="20" t="s">
        <v>50</v>
      </c>
    </row>
    <row r="7" customFormat="false" ht="15.75" hidden="false" customHeight="true" outlineLevel="0" collapsed="false">
      <c r="B7" s="21" t="s">
        <v>51</v>
      </c>
      <c r="C7" s="22" t="n">
        <v>8000</v>
      </c>
      <c r="D7" s="22" t="n">
        <v>6000</v>
      </c>
      <c r="E7" s="23" t="n">
        <f aca="false">C7-D7</f>
        <v>2000</v>
      </c>
      <c r="F7" s="24" t="n">
        <f aca="false">IFERROR(C7/$C$30,0)</f>
        <v>0.0260586319218241</v>
      </c>
    </row>
    <row r="8" customFormat="false" ht="15.75" hidden="false" customHeight="true" outlineLevel="0" collapsed="false">
      <c r="B8" s="21" t="s">
        <v>52</v>
      </c>
      <c r="C8" s="22" t="n">
        <v>120000</v>
      </c>
      <c r="D8" s="22" t="n">
        <v>110000</v>
      </c>
      <c r="E8" s="23" t="n">
        <f aca="false">C8-D8</f>
        <v>10000</v>
      </c>
      <c r="F8" s="24" t="n">
        <f aca="false">IFERROR(C8/$C$30,0)</f>
        <v>0.390879478827362</v>
      </c>
    </row>
    <row r="9" customFormat="false" ht="15.75" hidden="false" customHeight="true" outlineLevel="0" collapsed="false">
      <c r="B9" s="21" t="s">
        <v>53</v>
      </c>
      <c r="C9" s="22" t="n">
        <v>4000</v>
      </c>
      <c r="D9" s="22" t="n">
        <v>4000</v>
      </c>
      <c r="E9" s="23" t="n">
        <f aca="false">C9-D9</f>
        <v>0</v>
      </c>
      <c r="F9" s="24" t="n">
        <f aca="false">IFERROR(C9/$C$30,0)</f>
        <v>0.0130293159609121</v>
      </c>
    </row>
    <row r="10" customFormat="false" ht="15.75" hidden="false" customHeight="true" outlineLevel="0" collapsed="false">
      <c r="B10" s="25" t="s">
        <v>54</v>
      </c>
      <c r="C10" s="26" t="n">
        <f aca="false">SUM(C7:C9)</f>
        <v>132000</v>
      </c>
      <c r="D10" s="26" t="n">
        <f aca="false">SUM(D7:D9)</f>
        <v>120000</v>
      </c>
      <c r="E10" s="26" t="n">
        <f aca="false">C10-D10</f>
        <v>12000</v>
      </c>
      <c r="F10" s="27" t="n">
        <f aca="false">IFERROR(C10/$C$30,0)</f>
        <v>0.429967426710098</v>
      </c>
    </row>
    <row r="11" customFormat="false" ht="19.5" hidden="false" customHeight="true" outlineLevel="0" collapsed="false">
      <c r="B11" s="20" t="s">
        <v>55</v>
      </c>
    </row>
    <row r="12" customFormat="false" ht="15.75" hidden="false" customHeight="true" outlineLevel="0" collapsed="false">
      <c r="B12" s="21" t="s">
        <v>56</v>
      </c>
      <c r="C12" s="22" t="n">
        <v>65000</v>
      </c>
      <c r="D12" s="22" t="n">
        <v>58000</v>
      </c>
      <c r="E12" s="23" t="n">
        <f aca="false">C12-D12</f>
        <v>7000</v>
      </c>
      <c r="F12" s="24" t="n">
        <f aca="false">IFERROR(C12/$C$30,0)</f>
        <v>0.211726384364821</v>
      </c>
    </row>
    <row r="13" customFormat="false" ht="15.75" hidden="false" customHeight="true" outlineLevel="0" collapsed="false">
      <c r="B13" s="21" t="s">
        <v>57</v>
      </c>
      <c r="C13" s="22" t="n">
        <v>48000</v>
      </c>
      <c r="D13" s="22" t="n">
        <v>41000</v>
      </c>
      <c r="E13" s="23" t="n">
        <f aca="false">C13-D13</f>
        <v>7000</v>
      </c>
      <c r="F13" s="24" t="n">
        <f aca="false">IFERROR(C13/$C$30,0)</f>
        <v>0.156351791530945</v>
      </c>
    </row>
    <row r="14" customFormat="false" ht="15.75" hidden="false" customHeight="true" outlineLevel="0" collapsed="false">
      <c r="B14" s="21" t="s">
        <v>58</v>
      </c>
      <c r="C14" s="22" t="n">
        <v>10000</v>
      </c>
      <c r="D14" s="22" t="n">
        <v>6000</v>
      </c>
      <c r="E14" s="23" t="n">
        <f aca="false">C14-D14</f>
        <v>4000</v>
      </c>
      <c r="F14" s="24" t="n">
        <f aca="false">IFERROR(C14/$C$30,0)</f>
        <v>0.0325732899022801</v>
      </c>
    </row>
    <row r="15" customFormat="false" ht="15.75" hidden="false" customHeight="true" outlineLevel="0" collapsed="false">
      <c r="B15" s="21" t="s">
        <v>59</v>
      </c>
      <c r="C15" s="22" t="n">
        <v>52000</v>
      </c>
      <c r="D15" s="22" t="n">
        <v>36000</v>
      </c>
      <c r="E15" s="23" t="n">
        <f aca="false">C15-D15</f>
        <v>16000</v>
      </c>
      <c r="F15" s="24" t="n">
        <f aca="false">IFERROR(C15/$C$30,0)</f>
        <v>0.169381107491857</v>
      </c>
    </row>
    <row r="16" customFormat="false" ht="15.75" hidden="false" customHeight="true" outlineLevel="0" collapsed="false">
      <c r="B16" s="25" t="s">
        <v>60</v>
      </c>
      <c r="C16" s="26" t="n">
        <f aca="false">SUM(C12:C15)</f>
        <v>175000</v>
      </c>
      <c r="D16" s="26" t="n">
        <f aca="false">SUM(D12:D15)</f>
        <v>141000</v>
      </c>
      <c r="E16" s="26" t="n">
        <f aca="false">C16-D16</f>
        <v>34000</v>
      </c>
      <c r="F16" s="27" t="n">
        <f aca="false">IFERROR(C16/$C$30,0)</f>
        <v>0.570032573289902</v>
      </c>
    </row>
    <row r="18" customFormat="false" ht="19.5" hidden="false" customHeight="true" outlineLevel="0" collapsed="false">
      <c r="B18" s="20" t="s">
        <v>61</v>
      </c>
    </row>
    <row r="19" customFormat="false" ht="15.75" hidden="false" customHeight="true" outlineLevel="0" collapsed="false">
      <c r="B19" s="25" t="s">
        <v>17</v>
      </c>
      <c r="C19" s="26" t="n">
        <f aca="false">SUM(C20:C22)</f>
        <v>163000</v>
      </c>
      <c r="D19" s="26" t="n">
        <f aca="false">SUM(D20:D22)</f>
        <v>145000</v>
      </c>
      <c r="E19" s="26" t="n">
        <f aca="false">C19-D19</f>
        <v>18000</v>
      </c>
      <c r="F19" s="27" t="n">
        <f aca="false">IFERROR(C19/$C$30,0)</f>
        <v>0.530944625407166</v>
      </c>
    </row>
    <row r="20" customFormat="false" ht="15.75" hidden="false" customHeight="true" outlineLevel="0" collapsed="false">
      <c r="B20" s="21" t="s">
        <v>62</v>
      </c>
      <c r="C20" s="22" t="n">
        <v>60000</v>
      </c>
      <c r="D20" s="22" t="n">
        <v>60000</v>
      </c>
      <c r="E20" s="23" t="n">
        <f aca="false">C20-D20</f>
        <v>0</v>
      </c>
      <c r="F20" s="24" t="n">
        <f aca="false">IFERROR(C20/$C$30,0)</f>
        <v>0.195439739413681</v>
      </c>
    </row>
    <row r="21" customFormat="false" ht="15.75" hidden="false" customHeight="true" outlineLevel="0" collapsed="false">
      <c r="B21" s="21" t="s">
        <v>63</v>
      </c>
      <c r="C21" s="22" t="n">
        <v>85000</v>
      </c>
      <c r="D21" s="22" t="n">
        <v>76000</v>
      </c>
      <c r="E21" s="23" t="n">
        <f aca="false">C21-D21</f>
        <v>9000</v>
      </c>
      <c r="F21" s="24" t="n">
        <f aca="false">IFERROR(C21/$C$30,0)</f>
        <v>0.276872964169381</v>
      </c>
    </row>
    <row r="22" customFormat="false" ht="15.75" hidden="false" customHeight="true" outlineLevel="0" collapsed="false">
      <c r="B22" s="21" t="s">
        <v>12</v>
      </c>
      <c r="C22" s="28" t="n">
        <f aca="false">PyG!C20</f>
        <v>18000</v>
      </c>
      <c r="D22" s="28" t="n">
        <f aca="false">PyG!D20</f>
        <v>9000</v>
      </c>
      <c r="E22" s="23" t="n">
        <f aca="false">C22-D22</f>
        <v>9000</v>
      </c>
      <c r="F22" s="24" t="n">
        <f aca="false">IFERROR(C22/$C$30,0)</f>
        <v>0.0586319218241042</v>
      </c>
    </row>
    <row r="23" customFormat="false" ht="19.5" hidden="false" customHeight="true" outlineLevel="0" collapsed="false">
      <c r="B23" s="20" t="s">
        <v>64</v>
      </c>
    </row>
    <row r="24" customFormat="false" ht="15.75" hidden="false" customHeight="true" outlineLevel="0" collapsed="false">
      <c r="B24" s="21" t="s">
        <v>65</v>
      </c>
      <c r="C24" s="22" t="n">
        <v>70000</v>
      </c>
      <c r="D24" s="22" t="n">
        <v>62000</v>
      </c>
      <c r="E24" s="23" t="n">
        <f aca="false">C24-D24</f>
        <v>8000</v>
      </c>
      <c r="F24" s="24" t="n">
        <f aca="false">IFERROR(C24/$C$30,0)</f>
        <v>0.228013029315961</v>
      </c>
    </row>
    <row r="25" customFormat="false" ht="19.5" hidden="false" customHeight="true" outlineLevel="0" collapsed="false">
      <c r="B25" s="20" t="s">
        <v>66</v>
      </c>
    </row>
    <row r="26" customFormat="false" ht="15.75" hidden="false" customHeight="true" outlineLevel="0" collapsed="false">
      <c r="B26" s="21" t="s">
        <v>67</v>
      </c>
      <c r="C26" s="22" t="n">
        <v>18000</v>
      </c>
      <c r="D26" s="22" t="n">
        <v>15000</v>
      </c>
      <c r="E26" s="23" t="n">
        <f aca="false">C26-D26</f>
        <v>3000</v>
      </c>
      <c r="F26" s="24" t="n">
        <f aca="false">IFERROR(C26/$C$30,0)</f>
        <v>0.0586319218241042</v>
      </c>
    </row>
    <row r="27" customFormat="false" ht="15.75" hidden="false" customHeight="true" outlineLevel="0" collapsed="false">
      <c r="B27" s="21" t="s">
        <v>68</v>
      </c>
      <c r="C27" s="22" t="n">
        <v>44000</v>
      </c>
      <c r="D27" s="22" t="n">
        <v>27000</v>
      </c>
      <c r="E27" s="23" t="n">
        <f aca="false">C27-D27</f>
        <v>17000</v>
      </c>
      <c r="F27" s="24" t="n">
        <f aca="false">IFERROR(C27/$C$30,0)</f>
        <v>0.143322475570033</v>
      </c>
    </row>
    <row r="28" customFormat="false" ht="15.75" hidden="false" customHeight="true" outlineLevel="0" collapsed="false">
      <c r="B28" s="21" t="s">
        <v>69</v>
      </c>
      <c r="C28" s="22" t="n">
        <v>12000</v>
      </c>
      <c r="D28" s="22" t="n">
        <v>12000</v>
      </c>
      <c r="E28" s="23" t="n">
        <f aca="false">C28-D28</f>
        <v>0</v>
      </c>
      <c r="F28" s="24" t="n">
        <f aca="false">IFERROR(C28/$C$30,0)</f>
        <v>0.0390879478827362</v>
      </c>
    </row>
    <row r="29" customFormat="false" ht="15.75" hidden="false" customHeight="true" outlineLevel="0" collapsed="false">
      <c r="B29" s="25" t="s">
        <v>70</v>
      </c>
      <c r="C29" s="26" t="n">
        <f aca="false">SUM(C26:C28)</f>
        <v>74000</v>
      </c>
      <c r="D29" s="26" t="n">
        <f aca="false">SUM(D26:D28)</f>
        <v>54000</v>
      </c>
      <c r="E29" s="26" t="n">
        <f aca="false">C29-D29</f>
        <v>20000</v>
      </c>
      <c r="F29" s="27" t="n">
        <f aca="false">IFERROR(C29/$C$30,0)</f>
        <v>0.241042345276873</v>
      </c>
    </row>
    <row r="30" customFormat="false" ht="15.75" hidden="false" customHeight="true" outlineLevel="0" collapsed="false">
      <c r="B30" s="29" t="s">
        <v>71</v>
      </c>
      <c r="C30" s="30" t="n">
        <f aca="false">C10+C16</f>
        <v>307000</v>
      </c>
      <c r="D30" s="30" t="n">
        <f aca="false">D10+D16</f>
        <v>261000</v>
      </c>
      <c r="E30" s="30" t="n">
        <f aca="false">C30-D30</f>
        <v>46000</v>
      </c>
      <c r="F30" s="31"/>
    </row>
    <row r="31" customFormat="false" ht="15.75" hidden="false" customHeight="true" outlineLevel="0" collapsed="false">
      <c r="B31" s="29" t="s">
        <v>72</v>
      </c>
      <c r="C31" s="30" t="n">
        <f aca="false">C19+C24+C29</f>
        <v>307000</v>
      </c>
      <c r="D31" s="30" t="n">
        <f aca="false">D19+D24+D29</f>
        <v>261000</v>
      </c>
      <c r="E31" s="30" t="n">
        <f aca="false">C31-D31</f>
        <v>46000</v>
      </c>
      <c r="F31" s="31"/>
    </row>
    <row r="33" customFormat="false" ht="15" hidden="false" customHeight="false" outlineLevel="0" collapsed="false">
      <c r="B33" s="32" t="s">
        <v>73</v>
      </c>
      <c r="C33" s="33" t="str">
        <f aca="false">IF(ROUND(C30-C31,2)=0,"Activo = Patrimonio neto + Pasivo","Descuadre: revisar datos")</f>
        <v>Activo = Patrimonio neto + Pasivo</v>
      </c>
      <c r="D33" s="33"/>
      <c r="E33" s="33"/>
    </row>
    <row r="34" customFormat="false" ht="15" hidden="false" customHeight="false" outlineLevel="0" collapsed="false">
      <c r="B34" s="34" t="s">
        <v>74</v>
      </c>
      <c r="C34" s="35" t="n">
        <f aca="false">C16-C29</f>
        <v>101000</v>
      </c>
    </row>
  </sheetData>
  <mergeCells count="3">
    <mergeCell ref="B2:F2"/>
    <mergeCell ref="B3:F3"/>
    <mergeCell ref="C33:E33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F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6"/>
    <col collapsed="false" customWidth="true" hidden="false" outlineLevel="0" max="4" min="3" style="0" width="16"/>
    <col collapsed="false" customWidth="true" hidden="false" outlineLevel="0" max="5" min="5" style="0" width="14"/>
    <col collapsed="false" customWidth="true" hidden="false" outlineLevel="0" max="6" min="6" style="0" width="12"/>
    <col collapsed="false" customWidth="true" hidden="false" outlineLevel="0" max="7" min="7" style="0" width="2"/>
  </cols>
  <sheetData>
    <row r="2" customFormat="false" ht="25.5" hidden="false" customHeight="true" outlineLevel="0" collapsed="false">
      <c r="B2" s="1" t="s">
        <v>75</v>
      </c>
      <c r="C2" s="1"/>
      <c r="D2" s="1"/>
      <c r="E2" s="1"/>
      <c r="F2" s="1"/>
    </row>
    <row r="3" customFormat="false" ht="15" hidden="false" customHeight="true" outlineLevel="0" collapsed="false">
      <c r="B3" s="17" t="s">
        <v>76</v>
      </c>
      <c r="C3" s="17"/>
      <c r="D3" s="17"/>
      <c r="E3" s="17"/>
      <c r="F3" s="17"/>
    </row>
    <row r="5" customFormat="false" ht="21.75" hidden="false" customHeight="true" outlineLevel="0" collapsed="false">
      <c r="B5" s="18" t="s">
        <v>77</v>
      </c>
      <c r="C5" s="19" t="str">
        <f aca="false">"Ejercicio "&amp;Portada!$C$10</f>
        <v>Ejercicio 2025</v>
      </c>
      <c r="D5" s="19" t="str">
        <f aca="false">"Ejercicio "&amp;Portada!$C$11</f>
        <v>Ejercicio 2024</v>
      </c>
      <c r="E5" s="19" t="s">
        <v>48</v>
      </c>
      <c r="F5" s="19" t="s">
        <v>78</v>
      </c>
    </row>
    <row r="7" customFormat="false" ht="15.75" hidden="false" customHeight="true" outlineLevel="0" collapsed="false">
      <c r="B7" s="21" t="s">
        <v>79</v>
      </c>
      <c r="C7" s="22" t="n">
        <v>520000</v>
      </c>
      <c r="D7" s="22" t="n">
        <v>458000</v>
      </c>
      <c r="E7" s="23" t="n">
        <f aca="false">C7-D7</f>
        <v>62000</v>
      </c>
      <c r="F7" s="36" t="n">
        <f aca="false">IFERROR(C7/$C$7,0)</f>
        <v>1</v>
      </c>
    </row>
    <row r="8" customFormat="false" ht="15.75" hidden="false" customHeight="true" outlineLevel="0" collapsed="false">
      <c r="B8" s="21" t="s">
        <v>80</v>
      </c>
      <c r="C8" s="22" t="n">
        <v>-210000</v>
      </c>
      <c r="D8" s="22" t="n">
        <v>-190000</v>
      </c>
      <c r="E8" s="23" t="n">
        <f aca="false">C8-D8</f>
        <v>-20000</v>
      </c>
      <c r="F8" s="36" t="n">
        <f aca="false">IFERROR(C8/$C$7,0)</f>
        <v>-0.403846153846154</v>
      </c>
    </row>
    <row r="9" customFormat="false" ht="15.75" hidden="false" customHeight="true" outlineLevel="0" collapsed="false">
      <c r="B9" s="21" t="s">
        <v>81</v>
      </c>
      <c r="C9" s="22" t="n">
        <v>3000</v>
      </c>
      <c r="D9" s="22" t="n">
        <v>2000</v>
      </c>
      <c r="E9" s="23" t="n">
        <f aca="false">C9-D9</f>
        <v>1000</v>
      </c>
      <c r="F9" s="36" t="n">
        <f aca="false">IFERROR(C9/$C$7,0)</f>
        <v>0.00576923076923077</v>
      </c>
    </row>
    <row r="10" customFormat="false" ht="15.75" hidden="false" customHeight="true" outlineLevel="0" collapsed="false">
      <c r="B10" s="21" t="s">
        <v>82</v>
      </c>
      <c r="C10" s="22" t="n">
        <v>-168000</v>
      </c>
      <c r="D10" s="22" t="n">
        <v>-150000</v>
      </c>
      <c r="E10" s="23" t="n">
        <f aca="false">C10-D10</f>
        <v>-18000</v>
      </c>
      <c r="F10" s="36" t="n">
        <f aca="false">IFERROR(C10/$C$7,0)</f>
        <v>-0.323076923076923</v>
      </c>
    </row>
    <row r="11" customFormat="false" ht="15.75" hidden="false" customHeight="true" outlineLevel="0" collapsed="false">
      <c r="B11" s="21" t="s">
        <v>83</v>
      </c>
      <c r="C11" s="22" t="n">
        <v>-95000</v>
      </c>
      <c r="D11" s="22" t="n">
        <v>-83500</v>
      </c>
      <c r="E11" s="23" t="n">
        <f aca="false">C11-D11</f>
        <v>-11500</v>
      </c>
      <c r="F11" s="36" t="n">
        <f aca="false">IFERROR(C11/$C$7,0)</f>
        <v>-0.182692307692308</v>
      </c>
    </row>
    <row r="12" customFormat="false" ht="15.75" hidden="false" customHeight="true" outlineLevel="0" collapsed="false">
      <c r="B12" s="21" t="s">
        <v>84</v>
      </c>
      <c r="C12" s="22" t="n">
        <v>-22000</v>
      </c>
      <c r="D12" s="22" t="n">
        <v>-20000</v>
      </c>
      <c r="E12" s="23" t="n">
        <f aca="false">C12-D12</f>
        <v>-2000</v>
      </c>
      <c r="F12" s="36" t="n">
        <f aca="false">IFERROR(C12/$C$7,0)</f>
        <v>-0.0423076923076923</v>
      </c>
    </row>
    <row r="13" customFormat="false" ht="15.75" hidden="false" customHeight="true" outlineLevel="0" collapsed="false">
      <c r="B13" s="25" t="s">
        <v>85</v>
      </c>
      <c r="C13" s="26" t="n">
        <f aca="false">SUM(C7:C12)</f>
        <v>28000</v>
      </c>
      <c r="D13" s="26" t="n">
        <f aca="false">SUM(D7:D12)</f>
        <v>16500</v>
      </c>
      <c r="E13" s="26" t="n">
        <f aca="false">C13-D13</f>
        <v>11500</v>
      </c>
      <c r="F13" s="37" t="n">
        <f aca="false">IFERROR(C13/$C$7,0)</f>
        <v>0.0538461538461539</v>
      </c>
    </row>
    <row r="14" customFormat="false" ht="15.75" hidden="false" customHeight="true" outlineLevel="0" collapsed="false">
      <c r="B14" s="21" t="s">
        <v>86</v>
      </c>
      <c r="C14" s="22" t="n">
        <v>500</v>
      </c>
      <c r="D14" s="22" t="n">
        <v>300</v>
      </c>
      <c r="E14" s="23" t="n">
        <f aca="false">C14-D14</f>
        <v>200</v>
      </c>
      <c r="F14" s="36" t="n">
        <f aca="false">IFERROR(C14/$C$7,0)</f>
        <v>0.000961538461538462</v>
      </c>
    </row>
    <row r="15" customFormat="false" ht="15.75" hidden="false" customHeight="true" outlineLevel="0" collapsed="false">
      <c r="B15" s="21" t="s">
        <v>87</v>
      </c>
      <c r="C15" s="22" t="n">
        <v>-4500</v>
      </c>
      <c r="D15" s="22" t="n">
        <v>-4800</v>
      </c>
      <c r="E15" s="23" t="n">
        <f aca="false">C15-D15</f>
        <v>300</v>
      </c>
      <c r="F15" s="36" t="n">
        <f aca="false">IFERROR(C15/$C$7,0)</f>
        <v>-0.00865384615384615</v>
      </c>
    </row>
    <row r="16" customFormat="false" ht="15.75" hidden="false" customHeight="true" outlineLevel="0" collapsed="false">
      <c r="B16" s="38" t="s">
        <v>88</v>
      </c>
      <c r="C16" s="39" t="n">
        <f aca="false">C13-C12</f>
        <v>50000</v>
      </c>
      <c r="D16" s="39" t="n">
        <f aca="false">D13-D12</f>
        <v>36500</v>
      </c>
      <c r="E16" s="39" t="n">
        <f aca="false">C16-D16</f>
        <v>13500</v>
      </c>
      <c r="F16" s="40" t="n">
        <f aca="false">IFERROR(C16/$C$7,0)</f>
        <v>0.0961538461538462</v>
      </c>
    </row>
    <row r="17" customFormat="false" ht="15.75" hidden="false" customHeight="true" outlineLevel="0" collapsed="false">
      <c r="B17" s="25" t="s">
        <v>89</v>
      </c>
      <c r="C17" s="26" t="n">
        <f aca="false">C14+C15</f>
        <v>-4000</v>
      </c>
      <c r="D17" s="26" t="n">
        <f aca="false">D14+D15</f>
        <v>-4500</v>
      </c>
      <c r="E17" s="26" t="n">
        <f aca="false">C17-D17</f>
        <v>500</v>
      </c>
      <c r="F17" s="37" t="n">
        <f aca="false">IFERROR(C17/$C$7,0)</f>
        <v>-0.00769230769230769</v>
      </c>
    </row>
    <row r="18" customFormat="false" ht="15.75" hidden="false" customHeight="true" outlineLevel="0" collapsed="false">
      <c r="B18" s="25" t="s">
        <v>90</v>
      </c>
      <c r="C18" s="26" t="n">
        <f aca="false">C13+C17</f>
        <v>24000</v>
      </c>
      <c r="D18" s="26" t="n">
        <f aca="false">D13+D17</f>
        <v>12000</v>
      </c>
      <c r="E18" s="26" t="n">
        <f aca="false">C18-D18</f>
        <v>12000</v>
      </c>
      <c r="F18" s="37" t="n">
        <f aca="false">IFERROR(C18/$C$7,0)</f>
        <v>0.0461538461538462</v>
      </c>
    </row>
    <row r="19" customFormat="false" ht="15.75" hidden="false" customHeight="true" outlineLevel="0" collapsed="false">
      <c r="B19" s="21" t="s">
        <v>91</v>
      </c>
      <c r="C19" s="41" t="n">
        <f aca="false">-C18*$C$21</f>
        <v>-6000</v>
      </c>
      <c r="D19" s="41" t="n">
        <f aca="false">-D18*$C$21</f>
        <v>-3000</v>
      </c>
      <c r="E19" s="23" t="n">
        <f aca="false">C19-D19</f>
        <v>-3000</v>
      </c>
      <c r="F19" s="36" t="n">
        <f aca="false">IFERROR(C19/$C$7,0)</f>
        <v>-0.0115384615384615</v>
      </c>
    </row>
    <row r="20" customFormat="false" ht="15.75" hidden="false" customHeight="true" outlineLevel="0" collapsed="false">
      <c r="B20" s="29" t="s">
        <v>92</v>
      </c>
      <c r="C20" s="30" t="n">
        <f aca="false">C18+C19</f>
        <v>18000</v>
      </c>
      <c r="D20" s="30" t="n">
        <f aca="false">D18+D19</f>
        <v>9000</v>
      </c>
      <c r="E20" s="30" t="n">
        <f aca="false">C20-D20</f>
        <v>9000</v>
      </c>
      <c r="F20" s="42" t="n">
        <f aca="false">IFERROR(C20/$C$7,0)</f>
        <v>0.0346153846153846</v>
      </c>
    </row>
    <row r="21" customFormat="false" ht="15" hidden="false" customHeight="false" outlineLevel="0" collapsed="false">
      <c r="B21" s="43" t="s">
        <v>93</v>
      </c>
      <c r="C21" s="44" t="n">
        <v>0.25</v>
      </c>
    </row>
    <row r="23" customFormat="false" ht="15" hidden="false" customHeight="false" outlineLevel="0" collapsed="false">
      <c r="B23" s="45" t="s">
        <v>94</v>
      </c>
    </row>
    <row r="24" customFormat="false" ht="15" hidden="false" customHeight="false" outlineLevel="0" collapsed="false">
      <c r="B24" s="46" t="s">
        <v>95</v>
      </c>
      <c r="C24" s="47" t="n">
        <f aca="false">(C7+C8)/C7</f>
        <v>0.596153846153846</v>
      </c>
    </row>
    <row r="25" customFormat="false" ht="15" hidden="false" customHeight="false" outlineLevel="0" collapsed="false">
      <c r="B25" s="46" t="s">
        <v>96</v>
      </c>
      <c r="C25" s="47" t="n">
        <f aca="false">C16/C7</f>
        <v>0.0961538461538462</v>
      </c>
    </row>
    <row r="26" customFormat="false" ht="15" hidden="false" customHeight="false" outlineLevel="0" collapsed="false">
      <c r="B26" s="46" t="s">
        <v>97</v>
      </c>
      <c r="C26" s="47" t="n">
        <f aca="false">C13/C7</f>
        <v>0.0538461538461539</v>
      </c>
    </row>
    <row r="27" customFormat="false" ht="15" hidden="false" customHeight="false" outlineLevel="0" collapsed="false">
      <c r="B27" s="46" t="s">
        <v>98</v>
      </c>
      <c r="C27" s="47" t="n">
        <f aca="false">C20/C7</f>
        <v>0.0346153846153846</v>
      </c>
    </row>
  </sheetData>
  <mergeCells count="2">
    <mergeCell ref="B2:F2"/>
    <mergeCell ref="B3:F3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C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52"/>
    <col collapsed="false" customWidth="true" hidden="false" outlineLevel="0" max="3" min="3" style="0" width="18"/>
    <col collapsed="false" customWidth="true" hidden="false" outlineLevel="0" max="4" min="4" style="0" width="2"/>
  </cols>
  <sheetData>
    <row r="2" customFormat="false" ht="25.5" hidden="false" customHeight="true" outlineLevel="0" collapsed="false">
      <c r="B2" s="1" t="s">
        <v>99</v>
      </c>
      <c r="C2" s="1"/>
    </row>
    <row r="3" customFormat="false" ht="15" hidden="false" customHeight="true" outlineLevel="0" collapsed="false">
      <c r="B3" s="17" t="str">
        <f aca="false">"Método indirecto  ·  Ejercicio "&amp;Portada!$C$10&amp;"  ·  Importes en euros"</f>
        <v>Método indirecto  ·  Ejercicio 2025  ·  Importes en euros</v>
      </c>
      <c r="C3" s="17"/>
    </row>
    <row r="5" customFormat="false" ht="21.75" hidden="false" customHeight="true" outlineLevel="0" collapsed="false">
      <c r="B5" s="18" t="s">
        <v>77</v>
      </c>
      <c r="C5" s="19" t="str">
        <f aca="false">"Ejercicio "&amp;Portada!$C$10</f>
        <v>Ejercicio 2025</v>
      </c>
    </row>
    <row r="6" customFormat="false" ht="19.5" hidden="false" customHeight="true" outlineLevel="0" collapsed="false">
      <c r="B6" s="3" t="s">
        <v>100</v>
      </c>
      <c r="C6" s="3"/>
    </row>
    <row r="7" customFormat="false" ht="15.75" hidden="false" customHeight="true" outlineLevel="0" collapsed="false">
      <c r="B7" s="21" t="s">
        <v>101</v>
      </c>
      <c r="C7" s="28" t="n">
        <f aca="false">PyG!C18</f>
        <v>24000</v>
      </c>
    </row>
    <row r="8" customFormat="false" ht="15.75" hidden="false" customHeight="true" outlineLevel="0" collapsed="false">
      <c r="B8" s="21" t="s">
        <v>102</v>
      </c>
      <c r="C8" s="28" t="n">
        <f aca="false">-PyG!C12</f>
        <v>22000</v>
      </c>
    </row>
    <row r="9" customFormat="false" ht="15.75" hidden="false" customHeight="true" outlineLevel="0" collapsed="false">
      <c r="B9" s="21" t="s">
        <v>103</v>
      </c>
      <c r="C9" s="28" t="n">
        <f aca="false">-PyG!C15</f>
        <v>4500</v>
      </c>
    </row>
    <row r="10" customFormat="false" ht="15.75" hidden="false" customHeight="true" outlineLevel="0" collapsed="false">
      <c r="B10" s="21" t="s">
        <v>104</v>
      </c>
      <c r="C10" s="28" t="n">
        <f aca="false">-PyG!C14</f>
        <v>-500</v>
      </c>
    </row>
    <row r="11" customFormat="false" ht="15.75" hidden="false" customHeight="true" outlineLevel="0" collapsed="false">
      <c r="B11" s="25" t="s">
        <v>105</v>
      </c>
      <c r="C11" s="26" t="n">
        <f aca="false">SUM(C7:C10)</f>
        <v>50000</v>
      </c>
    </row>
    <row r="12" customFormat="false" ht="15.75" hidden="false" customHeight="true" outlineLevel="0" collapsed="false">
      <c r="B12" s="21" t="s">
        <v>106</v>
      </c>
      <c r="C12" s="28" t="n">
        <f aca="false">-(Balance!C12-Balance!D12)</f>
        <v>-7000</v>
      </c>
    </row>
    <row r="13" customFormat="false" ht="15.75" hidden="false" customHeight="true" outlineLevel="0" collapsed="false">
      <c r="B13" s="21" t="s">
        <v>107</v>
      </c>
      <c r="C13" s="28" t="n">
        <f aca="false">-(Balance!C13-Balance!D13)</f>
        <v>-7000</v>
      </c>
    </row>
    <row r="14" customFormat="false" ht="15.75" hidden="false" customHeight="true" outlineLevel="0" collapsed="false">
      <c r="B14" s="21" t="s">
        <v>108</v>
      </c>
      <c r="C14" s="28" t="n">
        <f aca="false">Balance!C27-Balance!D27</f>
        <v>17000</v>
      </c>
    </row>
    <row r="15" customFormat="false" ht="15.75" hidden="false" customHeight="true" outlineLevel="0" collapsed="false">
      <c r="B15" s="21" t="s">
        <v>109</v>
      </c>
      <c r="C15" s="28" t="n">
        <f aca="false">Balance!C28-Balance!D28</f>
        <v>0</v>
      </c>
    </row>
    <row r="16" customFormat="false" ht="15.75" hidden="false" customHeight="true" outlineLevel="0" collapsed="false">
      <c r="B16" s="25" t="s">
        <v>110</v>
      </c>
      <c r="C16" s="26" t="n">
        <f aca="false">SUM(C12:C15)</f>
        <v>3000</v>
      </c>
    </row>
    <row r="17" customFormat="false" ht="15.75" hidden="false" customHeight="true" outlineLevel="0" collapsed="false">
      <c r="B17" s="21" t="s">
        <v>111</v>
      </c>
      <c r="C17" s="28" t="n">
        <f aca="false">PyG!C15</f>
        <v>-4500</v>
      </c>
    </row>
    <row r="18" customFormat="false" ht="15.75" hidden="false" customHeight="true" outlineLevel="0" collapsed="false">
      <c r="B18" s="21" t="s">
        <v>112</v>
      </c>
      <c r="C18" s="28" t="n">
        <f aca="false">PyG!C14</f>
        <v>500</v>
      </c>
    </row>
    <row r="19" customFormat="false" ht="15.75" hidden="false" customHeight="true" outlineLevel="0" collapsed="false">
      <c r="B19" s="21" t="s">
        <v>113</v>
      </c>
      <c r="C19" s="28" t="n">
        <f aca="false">PyG!C19</f>
        <v>-6000</v>
      </c>
    </row>
    <row r="20" customFormat="false" ht="15.75" hidden="false" customHeight="true" outlineLevel="0" collapsed="false">
      <c r="B20" s="25" t="s">
        <v>114</v>
      </c>
      <c r="C20" s="26" t="n">
        <f aca="false">SUM(C17:C19)</f>
        <v>-10000</v>
      </c>
    </row>
    <row r="21" customFormat="false" ht="15.75" hidden="false" customHeight="true" outlineLevel="0" collapsed="false">
      <c r="B21" s="38" t="s">
        <v>115</v>
      </c>
      <c r="C21" s="39" t="n">
        <f aca="false">C11+C16+C20</f>
        <v>43000</v>
      </c>
    </row>
    <row r="22" customFormat="false" ht="19.5" hidden="false" customHeight="true" outlineLevel="0" collapsed="false">
      <c r="B22" s="3" t="s">
        <v>116</v>
      </c>
      <c r="C22" s="3"/>
    </row>
    <row r="23" customFormat="false" ht="15.75" hidden="false" customHeight="true" outlineLevel="0" collapsed="false">
      <c r="B23" s="21" t="s">
        <v>117</v>
      </c>
      <c r="C23" s="22" t="n">
        <v>-34000</v>
      </c>
    </row>
    <row r="24" customFormat="false" ht="15.75" hidden="false" customHeight="true" outlineLevel="0" collapsed="false">
      <c r="B24" s="21" t="s">
        <v>118</v>
      </c>
      <c r="C24" s="22" t="n">
        <v>-4000</v>
      </c>
    </row>
    <row r="25" customFormat="false" ht="15.75" hidden="false" customHeight="true" outlineLevel="0" collapsed="false">
      <c r="B25" s="38" t="s">
        <v>119</v>
      </c>
      <c r="C25" s="39" t="n">
        <f aca="false">SUM(C23:C24)</f>
        <v>-38000</v>
      </c>
    </row>
    <row r="26" customFormat="false" ht="19.5" hidden="false" customHeight="true" outlineLevel="0" collapsed="false">
      <c r="B26" s="3" t="s">
        <v>120</v>
      </c>
      <c r="C26" s="3"/>
    </row>
    <row r="27" customFormat="false" ht="15.75" hidden="false" customHeight="true" outlineLevel="0" collapsed="false">
      <c r="B27" s="21" t="s">
        <v>121</v>
      </c>
      <c r="C27" s="28" t="n">
        <f aca="false">Balance!C24-Balance!D24</f>
        <v>8000</v>
      </c>
    </row>
    <row r="28" customFormat="false" ht="15.75" hidden="false" customHeight="true" outlineLevel="0" collapsed="false">
      <c r="B28" s="21" t="s">
        <v>122</v>
      </c>
      <c r="C28" s="28" t="n">
        <f aca="false">Balance!C26-Balance!D26</f>
        <v>3000</v>
      </c>
    </row>
    <row r="29" customFormat="false" ht="15.75" hidden="false" customHeight="true" outlineLevel="0" collapsed="false">
      <c r="B29" s="21" t="s">
        <v>123</v>
      </c>
      <c r="C29" s="22" t="n">
        <v>0</v>
      </c>
    </row>
    <row r="30" customFormat="false" ht="15.75" hidden="false" customHeight="true" outlineLevel="0" collapsed="false">
      <c r="B30" s="38" t="s">
        <v>124</v>
      </c>
      <c r="C30" s="39" t="n">
        <f aca="false">SUM(C27:C29)</f>
        <v>11000</v>
      </c>
    </row>
    <row r="32" customFormat="false" ht="15.75" hidden="false" customHeight="true" outlineLevel="0" collapsed="false">
      <c r="B32" s="29" t="s">
        <v>125</v>
      </c>
      <c r="C32" s="30" t="n">
        <f aca="false">C21+C25+C30</f>
        <v>16000</v>
      </c>
    </row>
    <row r="33" customFormat="false" ht="15.75" hidden="false" customHeight="true" outlineLevel="0" collapsed="false">
      <c r="B33" s="21" t="s">
        <v>126</v>
      </c>
      <c r="C33" s="28" t="n">
        <f aca="false">Balance!D15</f>
        <v>36000</v>
      </c>
    </row>
    <row r="34" customFormat="false" ht="15.75" hidden="false" customHeight="true" outlineLevel="0" collapsed="false">
      <c r="B34" s="25" t="s">
        <v>127</v>
      </c>
      <c r="C34" s="26" t="n">
        <f aca="false">C32+C33</f>
        <v>52000</v>
      </c>
    </row>
    <row r="36" customFormat="false" ht="15" hidden="false" customHeight="false" outlineLevel="0" collapsed="false">
      <c r="B36" s="32" t="s">
        <v>73</v>
      </c>
      <c r="C36" s="48" t="str">
        <f aca="false">IF(ROUND(C34-Balance!C15,2)=0,"Concilia con la tesorería del balance","Revisar")</f>
        <v>Concilia con la tesorería del balance</v>
      </c>
    </row>
  </sheetData>
  <mergeCells count="5">
    <mergeCell ref="B2:C2"/>
    <mergeCell ref="B3:C3"/>
    <mergeCell ref="B6:C6"/>
    <mergeCell ref="B22:C22"/>
    <mergeCell ref="B26:C26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F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4" min="3" style="0" width="13"/>
    <col collapsed="false" customWidth="true" hidden="false" outlineLevel="0" max="5" min="5" style="0" width="16"/>
    <col collapsed="false" customWidth="true" hidden="false" outlineLevel="0" max="6" min="6" style="0" width="40"/>
    <col collapsed="false" customWidth="true" hidden="false" outlineLevel="0" max="7" min="7" style="0" width="2"/>
  </cols>
  <sheetData>
    <row r="2" customFormat="false" ht="25.5" hidden="false" customHeight="true" outlineLevel="0" collapsed="false">
      <c r="B2" s="1" t="s">
        <v>128</v>
      </c>
      <c r="C2" s="1"/>
      <c r="D2" s="1"/>
      <c r="E2" s="1"/>
      <c r="F2" s="1"/>
    </row>
    <row r="3" customFormat="false" ht="15" hidden="false" customHeight="true" outlineLevel="0" collapsed="false">
      <c r="B3" s="17" t="s">
        <v>129</v>
      </c>
      <c r="C3" s="17"/>
      <c r="D3" s="17"/>
      <c r="E3" s="17"/>
      <c r="F3" s="17"/>
    </row>
    <row r="5" customFormat="false" ht="21.75" hidden="false" customHeight="true" outlineLevel="0" collapsed="false">
      <c r="B5" s="18" t="s">
        <v>130</v>
      </c>
      <c r="C5" s="19" t="str">
        <f aca="false">"Ejer. "&amp;Portada!$C$10</f>
        <v>Ejer. 2025</v>
      </c>
      <c r="D5" s="19" t="str">
        <f aca="false">"Ejer. "&amp;Portada!$C$11</f>
        <v>Ejer. 2024</v>
      </c>
      <c r="E5" s="19" t="s">
        <v>131</v>
      </c>
      <c r="F5" s="19" t="s">
        <v>132</v>
      </c>
    </row>
    <row r="6" customFormat="false" ht="19.5" hidden="false" customHeight="true" outlineLevel="0" collapsed="false">
      <c r="B6" s="3" t="s">
        <v>133</v>
      </c>
      <c r="C6" s="3"/>
      <c r="D6" s="3"/>
      <c r="E6" s="3"/>
      <c r="F6" s="3"/>
    </row>
    <row r="7" customFormat="false" ht="15.75" hidden="false" customHeight="true" outlineLevel="0" collapsed="false">
      <c r="B7" s="49" t="s">
        <v>134</v>
      </c>
      <c r="C7" s="50" t="n">
        <f aca="false">Balance!C16/Balance!C29</f>
        <v>2.36486486486487</v>
      </c>
      <c r="D7" s="50" t="n">
        <f aca="false">Balance!D16/Balance!D29</f>
        <v>2.61111111111111</v>
      </c>
      <c r="E7" s="51" t="s">
        <v>135</v>
      </c>
      <c r="F7" s="52" t="str">
        <f aca="false">IF(C7&gt;=1.5,"Holgada",IF(C7&gt;=1,"Ajustada","Tensión de liquidez"))</f>
        <v>Holgada</v>
      </c>
    </row>
    <row r="8" customFormat="false" ht="15.75" hidden="false" customHeight="true" outlineLevel="0" collapsed="false">
      <c r="B8" s="53" t="s">
        <v>136</v>
      </c>
      <c r="C8" s="54" t="n">
        <f aca="false">(Balance!C16-Balance!C12)/Balance!C29</f>
        <v>1.48648648648649</v>
      </c>
      <c r="D8" s="54" t="n">
        <f aca="false">(Balance!D16-Balance!D12)/Balance!D29</f>
        <v>1.53703703703704</v>
      </c>
      <c r="E8" s="55" t="s">
        <v>137</v>
      </c>
      <c r="F8" s="56" t="str">
        <f aca="false">IF(C8&gt;=1,"Cubre pasivo sin existencias","Depende de existencias")</f>
        <v>Cubre pasivo sin existencias</v>
      </c>
    </row>
    <row r="9" customFormat="false" ht="15.75" hidden="false" customHeight="true" outlineLevel="0" collapsed="false">
      <c r="B9" s="49" t="s">
        <v>138</v>
      </c>
      <c r="C9" s="50" t="n">
        <f aca="false">(Balance!C14+Balance!C15)/Balance!C29</f>
        <v>0.837837837837838</v>
      </c>
      <c r="D9" s="50" t="n">
        <f aca="false">(Balance!D14+Balance!D15)/Balance!D29</f>
        <v>0.777777777777778</v>
      </c>
      <c r="E9" s="51" t="s">
        <v>139</v>
      </c>
      <c r="F9" s="52" t="str">
        <f aca="false">IF(C9&gt;=0.3,"Tesorería suficiente","Poca tesorería inmediata")</f>
        <v>Tesorería suficiente</v>
      </c>
    </row>
    <row r="10" customFormat="false" ht="15.75" hidden="false" customHeight="true" outlineLevel="0" collapsed="false">
      <c r="B10" s="53" t="s">
        <v>140</v>
      </c>
      <c r="C10" s="57" t="n">
        <f aca="false">Balance!C16-Balance!C29</f>
        <v>101000</v>
      </c>
      <c r="D10" s="57" t="n">
        <f aca="false">Balance!D16-Balance!D29</f>
        <v>87000</v>
      </c>
      <c r="E10" s="55" t="s">
        <v>141</v>
      </c>
      <c r="F10" s="56" t="str">
        <f aca="false">IF(C10&gt;0,"Positivo: financia el circulante","Negativo: riesgo a corto plazo")</f>
        <v>Positivo: financia el circulante</v>
      </c>
    </row>
    <row r="11" customFormat="false" ht="19.5" hidden="false" customHeight="true" outlineLevel="0" collapsed="false">
      <c r="B11" s="3" t="s">
        <v>142</v>
      </c>
      <c r="C11" s="3"/>
      <c r="D11" s="3"/>
      <c r="E11" s="3"/>
      <c r="F11" s="3"/>
    </row>
    <row r="12" customFormat="false" ht="15.75" hidden="false" customHeight="true" outlineLevel="0" collapsed="false">
      <c r="B12" s="53" t="s">
        <v>143</v>
      </c>
      <c r="C12" s="58" t="n">
        <f aca="false">(Balance!C24+Balance!C29)/Balance!C30</f>
        <v>0.469055374592834</v>
      </c>
      <c r="D12" s="58" t="n">
        <f aca="false">(Balance!D24+Balance!D29)/Balance!D30</f>
        <v>0.444444444444444</v>
      </c>
      <c r="E12" s="55" t="s">
        <v>144</v>
      </c>
      <c r="F12" s="56" t="str">
        <f aca="false">IF(C12&lt;=0.6,"Nivel razonable","Endeudamiento elevado")</f>
        <v>Nivel razonable</v>
      </c>
    </row>
    <row r="13" customFormat="false" ht="15.75" hidden="false" customHeight="true" outlineLevel="0" collapsed="false">
      <c r="B13" s="49" t="s">
        <v>145</v>
      </c>
      <c r="C13" s="59" t="n">
        <f aca="false">Balance!C19/Balance!C30</f>
        <v>0.530944625407166</v>
      </c>
      <c r="D13" s="59" t="n">
        <f aca="false">Balance!D19/Balance!D30</f>
        <v>0.555555555555556</v>
      </c>
      <c r="E13" s="51" t="s">
        <v>146</v>
      </c>
      <c r="F13" s="52" t="str">
        <f aca="false">IF(C13&gt;=0.4,"Buena capitalización","Poca autonomía")</f>
        <v>Buena capitalización</v>
      </c>
    </row>
    <row r="14" customFormat="false" ht="15.75" hidden="false" customHeight="true" outlineLevel="0" collapsed="false">
      <c r="B14" s="53" t="s">
        <v>147</v>
      </c>
      <c r="C14" s="54" t="n">
        <f aca="false">Balance!C30/(Balance!C24+Balance!C29)</f>
        <v>2.13194444444444</v>
      </c>
      <c r="D14" s="54" t="n">
        <f aca="false">Balance!D30/(Balance!D24+Balance!D29)</f>
        <v>2.25</v>
      </c>
      <c r="E14" s="55" t="s">
        <v>135</v>
      </c>
      <c r="F14" s="56" t="str">
        <f aca="false">IF(C14&gt;=1.5,"Solvente","Solvencia justa")</f>
        <v>Solvente</v>
      </c>
    </row>
    <row r="15" customFormat="false" ht="15.75" hidden="false" customHeight="true" outlineLevel="0" collapsed="false">
      <c r="B15" s="49" t="s">
        <v>148</v>
      </c>
      <c r="C15" s="60" t="n">
        <f aca="false">PyG!C13/-PyG!C15</f>
        <v>6.22222222222222</v>
      </c>
      <c r="D15" s="60" t="n">
        <f aca="false">PyG!D13/-PyG!D15</f>
        <v>3.4375</v>
      </c>
      <c r="E15" s="51" t="s">
        <v>149</v>
      </c>
      <c r="F15" s="52" t="str">
        <f aca="false">IF(C15&gt;=3,"El EBIT cubre los intereses","Cobertura ajustada")</f>
        <v>El EBIT cubre los intereses</v>
      </c>
    </row>
    <row r="16" customFormat="false" ht="19.5" hidden="false" customHeight="true" outlineLevel="0" collapsed="false">
      <c r="B16" s="3" t="s">
        <v>150</v>
      </c>
      <c r="C16" s="3"/>
      <c r="D16" s="3"/>
      <c r="E16" s="3"/>
      <c r="F16" s="3"/>
    </row>
    <row r="17" customFormat="false" ht="15.75" hidden="false" customHeight="true" outlineLevel="0" collapsed="false">
      <c r="B17" s="49" t="s">
        <v>98</v>
      </c>
      <c r="C17" s="59" t="n">
        <f aca="false">PyG!C20/PyG!C7</f>
        <v>0.0346153846153846</v>
      </c>
      <c r="D17" s="59" t="n">
        <f aca="false">PyG!D20/PyG!D7</f>
        <v>0.0196506550218341</v>
      </c>
      <c r="E17" s="51" t="s">
        <v>151</v>
      </c>
      <c r="F17" s="52" t="str">
        <f aca="false">IF(C17&gt;=D17,"Mejora respecto al año anterior","Empeora respecto al año anterior")</f>
        <v>Mejora respecto al año anterior</v>
      </c>
    </row>
    <row r="18" customFormat="false" ht="15.75" hidden="false" customHeight="true" outlineLevel="0" collapsed="false">
      <c r="B18" s="53" t="s">
        <v>152</v>
      </c>
      <c r="C18" s="58" t="n">
        <f aca="false">PyG!C13/Balance!C30</f>
        <v>0.0912052117263844</v>
      </c>
      <c r="D18" s="58" t="n">
        <f aca="false">PyG!D13/Balance!D30</f>
        <v>0.0632183908045977</v>
      </c>
      <c r="E18" s="55" t="s">
        <v>153</v>
      </c>
      <c r="F18" s="56" t="str">
        <f aca="false">IF(C18&gt;=D18,"Mejora la rentabilidad del activo","Baja la rentabilidad del activo")</f>
        <v>Mejora la rentabilidad del activo</v>
      </c>
    </row>
    <row r="19" customFormat="false" ht="15.75" hidden="false" customHeight="true" outlineLevel="0" collapsed="false">
      <c r="B19" s="49" t="s">
        <v>154</v>
      </c>
      <c r="C19" s="59" t="n">
        <f aca="false">PyG!C20/Balance!C19</f>
        <v>0.110429447852761</v>
      </c>
      <c r="D19" s="59" t="n">
        <f aca="false">PyG!D20/Balance!D19</f>
        <v>0.0620689655172414</v>
      </c>
      <c r="E19" s="51" t="s">
        <v>155</v>
      </c>
      <c r="F19" s="52" t="str">
        <f aca="false">IF(C19&gt;=C18,"Apalancamiento favorable","Revisar apalancamiento")</f>
        <v>Apalancamiento favorable</v>
      </c>
    </row>
    <row r="20" customFormat="false" ht="19.5" hidden="false" customHeight="true" outlineLevel="0" collapsed="false">
      <c r="B20" s="3" t="s">
        <v>156</v>
      </c>
      <c r="C20" s="3"/>
      <c r="D20" s="3"/>
      <c r="E20" s="3"/>
      <c r="F20" s="3"/>
    </row>
    <row r="21" customFormat="false" ht="15.75" hidden="false" customHeight="true" outlineLevel="0" collapsed="false">
      <c r="B21" s="49" t="s">
        <v>157</v>
      </c>
      <c r="C21" s="60" t="n">
        <f aca="false">PyG!C7/Balance!C30</f>
        <v>1.69381107491857</v>
      </c>
      <c r="D21" s="60" t="n">
        <f aca="false">PyG!D7/Balance!D30</f>
        <v>1.75478927203065</v>
      </c>
      <c r="E21" s="51" t="s">
        <v>151</v>
      </c>
      <c r="F21" s="52" t="str">
        <f aca="false">IF(C21&gt;=D21,"Mayor eficiencia del activo","Menor eficiencia del activo")</f>
        <v>Menor eficiencia del activo</v>
      </c>
    </row>
    <row r="22" customFormat="false" ht="15.75" hidden="false" customHeight="true" outlineLevel="0" collapsed="false">
      <c r="B22" s="53" t="s">
        <v>158</v>
      </c>
      <c r="C22" s="61" t="n">
        <f aca="false">Balance!C13/PyG!C7*365</f>
        <v>33.6923076923077</v>
      </c>
      <c r="D22" s="61" t="n">
        <f aca="false">Balance!D13/PyG!D7*365</f>
        <v>32.674672489083</v>
      </c>
      <c r="E22" s="55" t="s">
        <v>159</v>
      </c>
      <c r="F22" s="56" t="str">
        <f aca="false">IF(C22&lt;=60,"Cobro razonable","Cobros lentos")</f>
        <v>Cobro razonable</v>
      </c>
    </row>
    <row r="23" customFormat="false" ht="15.75" hidden="false" customHeight="true" outlineLevel="0" collapsed="false">
      <c r="B23" s="49" t="s">
        <v>160</v>
      </c>
      <c r="C23" s="62" t="n">
        <f aca="false">Balance!C27/-PyG!C8*365</f>
        <v>76.4761904761905</v>
      </c>
      <c r="D23" s="62" t="n">
        <f aca="false">Balance!D27/-PyG!D8*365</f>
        <v>51.8684210526316</v>
      </c>
      <c r="E23" s="51" t="s">
        <v>161</v>
      </c>
      <c r="F23" s="52" t="str">
        <f aca="false">IF(C23&gt;=C22,"Financiación de proveedores favorable","Se paga antes de lo que se cobra")</f>
        <v>Financiación de proveedores favorable</v>
      </c>
    </row>
    <row r="24" customFormat="false" ht="15.75" hidden="false" customHeight="true" outlineLevel="0" collapsed="false">
      <c r="B24" s="53" t="s">
        <v>162</v>
      </c>
      <c r="C24" s="63" t="n">
        <f aca="false">-PyG!C8/Balance!C12</f>
        <v>3.23076923076923</v>
      </c>
      <c r="D24" s="63" t="n">
        <f aca="false">-PyG!D8/Balance!D12</f>
        <v>3.27586206896552</v>
      </c>
      <c r="E24" s="55" t="s">
        <v>151</v>
      </c>
      <c r="F24" s="56" t="str">
        <f aca="false">IF(C24&gt;=D24,"Mejor rotación de stock","Peor rotación de stock")</f>
        <v>Peor rotación de stock</v>
      </c>
    </row>
  </sheetData>
  <mergeCells count="6">
    <mergeCell ref="B2:F2"/>
    <mergeCell ref="B3:F3"/>
    <mergeCell ref="B6:F6"/>
    <mergeCell ref="B11:F11"/>
    <mergeCell ref="B16:F16"/>
    <mergeCell ref="B20:F20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I5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22"/>
    <col collapsed="false" customWidth="true" hidden="false" outlineLevel="0" max="3" min="3" style="0" width="13"/>
    <col collapsed="false" customWidth="true" hidden="false" outlineLevel="0" max="4" min="4" style="0" width="22"/>
    <col collapsed="false" customWidth="true" hidden="false" outlineLevel="0" max="5" min="5" style="0" width="13"/>
    <col collapsed="false" customWidth="true" hidden="false" outlineLevel="0" max="6" min="6" style="0" width="22"/>
    <col collapsed="false" customWidth="true" hidden="false" outlineLevel="0" max="7" min="7" style="0" width="13"/>
    <col collapsed="false" customWidth="true" hidden="false" outlineLevel="0" max="8" min="8" style="0" width="16"/>
    <col collapsed="false" customWidth="true" hidden="false" outlineLevel="0" max="9" min="9" style="0" width="14"/>
    <col collapsed="false" customWidth="true" hidden="false" outlineLevel="0" max="10" min="10" style="0" width="2"/>
  </cols>
  <sheetData>
    <row r="2" customFormat="false" ht="25.5" hidden="false" customHeight="true" outlineLevel="0" collapsed="false">
      <c r="B2" s="1" t="s">
        <v>163</v>
      </c>
      <c r="C2" s="1"/>
      <c r="D2" s="1"/>
      <c r="E2" s="1"/>
      <c r="F2" s="1"/>
      <c r="G2" s="1"/>
      <c r="H2" s="1"/>
      <c r="I2" s="1"/>
    </row>
    <row r="3" customFormat="false" ht="15" hidden="false" customHeight="true" outlineLevel="0" collapsed="false">
      <c r="B3" s="17" t="str">
        <f aca="false">"Tostadero La Alquería, S.L.  ·  Ejercicio "&amp;Portada!$C$10</f>
        <v>Tostadero La Alquería, S.L.  ·  Ejercicio 2025</v>
      </c>
      <c r="C3" s="17"/>
      <c r="D3" s="17"/>
      <c r="E3" s="17"/>
      <c r="F3" s="17"/>
      <c r="G3" s="17"/>
      <c r="H3" s="17"/>
      <c r="I3" s="17"/>
    </row>
    <row r="5" customFormat="false" ht="18" hidden="false" customHeight="true" outlineLevel="0" collapsed="false">
      <c r="B5" s="64" t="s">
        <v>6</v>
      </c>
      <c r="C5" s="64"/>
      <c r="D5" s="64" t="s">
        <v>9</v>
      </c>
      <c r="E5" s="64"/>
      <c r="F5" s="64" t="s">
        <v>12</v>
      </c>
      <c r="G5" s="64"/>
      <c r="H5" s="64" t="s">
        <v>164</v>
      </c>
      <c r="I5" s="64"/>
    </row>
    <row r="6" customFormat="false" ht="18" hidden="false" customHeight="true" outlineLevel="0" collapsed="false">
      <c r="B6" s="65" t="n">
        <f aca="false">PyG!C7</f>
        <v>520000</v>
      </c>
      <c r="C6" s="65"/>
      <c r="D6" s="65" t="n">
        <f aca="false">PyG!C16</f>
        <v>50000</v>
      </c>
      <c r="E6" s="65"/>
      <c r="F6" s="65" t="n">
        <f aca="false">PyG!C20</f>
        <v>18000</v>
      </c>
      <c r="G6" s="65"/>
      <c r="H6" s="66" t="s">
        <v>165</v>
      </c>
      <c r="I6" s="67" t="n">
        <f aca="false">Ratios!C7</f>
        <v>2.36486486486487</v>
      </c>
    </row>
    <row r="7" customFormat="false" ht="18" hidden="false" customHeight="true" outlineLevel="0" collapsed="false">
      <c r="H7" s="66" t="s">
        <v>166</v>
      </c>
      <c r="I7" s="68" t="n">
        <f aca="false">Ratios!C12</f>
        <v>0.469055374592834</v>
      </c>
    </row>
    <row r="8" customFormat="false" ht="18" hidden="false" customHeight="true" outlineLevel="0" collapsed="false">
      <c r="B8" s="64" t="s">
        <v>15</v>
      </c>
      <c r="C8" s="64"/>
      <c r="D8" s="64" t="s">
        <v>17</v>
      </c>
      <c r="E8" s="64"/>
      <c r="F8" s="64" t="s">
        <v>19</v>
      </c>
      <c r="G8" s="64"/>
      <c r="H8" s="66" t="s">
        <v>167</v>
      </c>
      <c r="I8" s="68" t="n">
        <f aca="false">Ratios!C19</f>
        <v>0.110429447852761</v>
      </c>
    </row>
    <row r="9" customFormat="false" ht="18" hidden="false" customHeight="true" outlineLevel="0" collapsed="false">
      <c r="B9" s="65" t="n">
        <f aca="false">Balance!C30</f>
        <v>307000</v>
      </c>
      <c r="C9" s="65"/>
      <c r="D9" s="65" t="n">
        <f aca="false">Balance!C19</f>
        <v>163000</v>
      </c>
      <c r="E9" s="65"/>
      <c r="F9" s="65" t="n">
        <f aca="false">Balance!C15</f>
        <v>52000</v>
      </c>
      <c r="G9" s="65"/>
      <c r="H9" s="66" t="s">
        <v>98</v>
      </c>
      <c r="I9" s="68" t="n">
        <f aca="false">Ratios!C17</f>
        <v>0.0346153846153846</v>
      </c>
    </row>
    <row r="11" customFormat="false" ht="19.5" hidden="false" customHeight="true" outlineLevel="0" collapsed="false">
      <c r="B11" s="3" t="s">
        <v>168</v>
      </c>
      <c r="C11" s="3"/>
      <c r="D11" s="3"/>
      <c r="E11" s="3"/>
      <c r="F11" s="3" t="s">
        <v>169</v>
      </c>
      <c r="G11" s="3"/>
      <c r="H11" s="3"/>
      <c r="I11" s="3"/>
    </row>
    <row r="28" customFormat="false" ht="19.5" hidden="false" customHeight="true" outlineLevel="0" collapsed="false">
      <c r="B28" s="3" t="s">
        <v>170</v>
      </c>
      <c r="C28" s="3"/>
      <c r="D28" s="3"/>
      <c r="E28" s="3"/>
      <c r="F28" s="3" t="s">
        <v>171</v>
      </c>
      <c r="G28" s="3"/>
      <c r="H28" s="3"/>
      <c r="I28" s="3"/>
    </row>
    <row r="40" customFormat="false" ht="15" hidden="false" customHeight="false" outlineLevel="0" collapsed="false">
      <c r="B40" s="69" t="s">
        <v>172</v>
      </c>
    </row>
    <row r="41" customFormat="false" ht="15" hidden="false" customHeight="false" outlineLevel="0" collapsed="false">
      <c r="B41" s="70"/>
      <c r="C41" s="70" t="str">
        <f aca="false">"Ejer. "&amp;Portada!$C$11</f>
        <v>Ejer. 2024</v>
      </c>
      <c r="D41" s="70" t="str">
        <f aca="false">"Ejer. "&amp;Portada!$C$10</f>
        <v>Ejer. 2025</v>
      </c>
      <c r="F41" s="71" t="s">
        <v>173</v>
      </c>
      <c r="H41" s="71" t="s">
        <v>174</v>
      </c>
    </row>
    <row r="42" customFormat="false" ht="15" hidden="false" customHeight="false" outlineLevel="0" collapsed="false">
      <c r="B42" s="72" t="s">
        <v>6</v>
      </c>
      <c r="C42" s="73" t="n">
        <f aca="false">PyG!D7</f>
        <v>458000</v>
      </c>
      <c r="D42" s="73" t="n">
        <f aca="false">PyG!C7</f>
        <v>520000</v>
      </c>
      <c r="F42" s="72" t="s">
        <v>175</v>
      </c>
      <c r="G42" s="73" t="n">
        <f aca="false">Balance!C10</f>
        <v>132000</v>
      </c>
      <c r="H42" s="72" t="s">
        <v>17</v>
      </c>
      <c r="I42" s="73" t="n">
        <f aca="false">Balance!C19</f>
        <v>163000</v>
      </c>
    </row>
    <row r="43" customFormat="false" ht="15" hidden="false" customHeight="false" outlineLevel="0" collapsed="false">
      <c r="B43" s="72" t="s">
        <v>9</v>
      </c>
      <c r="C43" s="73" t="n">
        <f aca="false">PyG!D16</f>
        <v>36500</v>
      </c>
      <c r="D43" s="73" t="n">
        <f aca="false">PyG!C16</f>
        <v>50000</v>
      </c>
      <c r="F43" s="72" t="s">
        <v>56</v>
      </c>
      <c r="G43" s="73" t="n">
        <f aca="false">Balance!C12</f>
        <v>65000</v>
      </c>
      <c r="H43" s="72" t="s">
        <v>176</v>
      </c>
      <c r="I43" s="73" t="n">
        <f aca="false">Balance!C24</f>
        <v>70000</v>
      </c>
    </row>
    <row r="44" customFormat="false" ht="15" hidden="false" customHeight="false" outlineLevel="0" collapsed="false">
      <c r="B44" s="72" t="s">
        <v>177</v>
      </c>
      <c r="C44" s="73" t="n">
        <f aca="false">PyG!D20</f>
        <v>9000</v>
      </c>
      <c r="D44" s="73" t="n">
        <f aca="false">PyG!C20</f>
        <v>18000</v>
      </c>
      <c r="F44" s="72" t="s">
        <v>178</v>
      </c>
      <c r="G44" s="73" t="n">
        <f aca="false">Balance!C13</f>
        <v>48000</v>
      </c>
      <c r="H44" s="72" t="s">
        <v>179</v>
      </c>
      <c r="I44" s="73" t="n">
        <f aca="false">Balance!C29</f>
        <v>74000</v>
      </c>
    </row>
    <row r="45" customFormat="false" ht="15" hidden="false" customHeight="false" outlineLevel="0" collapsed="false">
      <c r="F45" s="72" t="s">
        <v>180</v>
      </c>
      <c r="G45" s="73" t="n">
        <f aca="false">Balance!C14+Balance!C15</f>
        <v>62000</v>
      </c>
    </row>
    <row r="47" customFormat="false" ht="15" hidden="false" customHeight="false" outlineLevel="0" collapsed="false">
      <c r="B47" s="71" t="s">
        <v>181</v>
      </c>
    </row>
    <row r="48" customFormat="false" ht="15" hidden="false" customHeight="false" outlineLevel="0" collapsed="false">
      <c r="B48" s="72" t="s">
        <v>182</v>
      </c>
      <c r="C48" s="74" t="n">
        <f aca="false">PyG!C24</f>
        <v>0.596153846153846</v>
      </c>
    </row>
    <row r="49" customFormat="false" ht="15" hidden="false" customHeight="false" outlineLevel="0" collapsed="false">
      <c r="B49" s="72" t="s">
        <v>183</v>
      </c>
      <c r="C49" s="74" t="n">
        <f aca="false">PyG!C25</f>
        <v>0.0961538461538462</v>
      </c>
    </row>
    <row r="50" customFormat="false" ht="15" hidden="false" customHeight="false" outlineLevel="0" collapsed="false">
      <c r="B50" s="72" t="s">
        <v>184</v>
      </c>
      <c r="C50" s="74" t="n">
        <f aca="false">PyG!C26</f>
        <v>0.0538461538461539</v>
      </c>
    </row>
    <row r="51" customFormat="false" ht="15" hidden="false" customHeight="false" outlineLevel="0" collapsed="false">
      <c r="B51" s="72" t="s">
        <v>185</v>
      </c>
      <c r="C51" s="74" t="n">
        <f aca="false">PyG!C27</f>
        <v>0.0346153846153846</v>
      </c>
    </row>
  </sheetData>
  <mergeCells count="19">
    <mergeCell ref="B2:I2"/>
    <mergeCell ref="B3:I3"/>
    <mergeCell ref="B5:C5"/>
    <mergeCell ref="D5:E5"/>
    <mergeCell ref="F5:G5"/>
    <mergeCell ref="H5:I5"/>
    <mergeCell ref="B6:C6"/>
    <mergeCell ref="D6:E6"/>
    <mergeCell ref="F6:G6"/>
    <mergeCell ref="B8:C8"/>
    <mergeCell ref="D8:E8"/>
    <mergeCell ref="F8:G8"/>
    <mergeCell ref="B9:C9"/>
    <mergeCell ref="D9:E9"/>
    <mergeCell ref="F9:G9"/>
    <mergeCell ref="B11:E11"/>
    <mergeCell ref="F11:I11"/>
    <mergeCell ref="B28:E28"/>
    <mergeCell ref="F28:I28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2026-08-25T05:59:25Z</dcterms:created>
  <dc:creator>openpyxl</dc:creator>
  <dc:description/>
  <dc:language>en-US</dc:language>
  <cp:lastModifiedBy/>
  <dcterms:modified xsi:type="dcterms:W3CDTF">2026-08-25T05:59:27Z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