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Factureo\Generador\"/>
    </mc:Choice>
  </mc:AlternateContent>
  <xr:revisionPtr revIDLastSave="0" documentId="13_ncr:1_{52E819B1-CB79-4539-8F6C-246893A3CA76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Panel" sheetId="1" r:id="rId1"/>
    <sheet name="Ajustes" sheetId="2" state="hidden" r:id="rId2"/>
    <sheet name="Movimientos" sheetId="3" r:id="rId3"/>
  </sheets>
  <definedNames>
    <definedName name="_xlnm._FilterDatabase" localSheetId="2" hidden="1">Movimientos!$A$4:$G$217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0" i="2" l="1"/>
  <c r="L20" i="2"/>
  <c r="N20" i="2" s="1"/>
  <c r="K20" i="2"/>
  <c r="M19" i="2"/>
  <c r="L19" i="2"/>
  <c r="N19" i="2" s="1"/>
  <c r="K19" i="2"/>
  <c r="M18" i="2"/>
  <c r="L18" i="2"/>
  <c r="N18" i="2" s="1"/>
  <c r="K18" i="2"/>
  <c r="M17" i="2"/>
  <c r="L17" i="2"/>
  <c r="N17" i="2" s="1"/>
  <c r="K17" i="2"/>
  <c r="M16" i="2"/>
  <c r="L16" i="2"/>
  <c r="N16" i="2" s="1"/>
  <c r="K16" i="2"/>
  <c r="M15" i="2"/>
  <c r="L15" i="2"/>
  <c r="N15" i="2" s="1"/>
  <c r="K15" i="2"/>
  <c r="M14" i="2"/>
  <c r="L14" i="2"/>
  <c r="N14" i="2" s="1"/>
  <c r="K14" i="2"/>
  <c r="M13" i="2"/>
  <c r="L13" i="2"/>
  <c r="N13" i="2" s="1"/>
  <c r="K13" i="2"/>
  <c r="M12" i="2"/>
  <c r="L12" i="2"/>
  <c r="N12" i="2" s="1"/>
  <c r="K12" i="2"/>
  <c r="M11" i="2"/>
  <c r="L11" i="2"/>
  <c r="N11" i="2" s="1"/>
  <c r="K11" i="2"/>
  <c r="M10" i="2"/>
  <c r="L10" i="2"/>
  <c r="N10" i="2" s="1"/>
  <c r="K10" i="2"/>
  <c r="M9" i="2"/>
  <c r="L9" i="2"/>
  <c r="N9" i="2" s="1"/>
  <c r="K9" i="2"/>
  <c r="L2" i="2"/>
  <c r="L3" i="2" s="1"/>
  <c r="E33" i="1"/>
  <c r="E32" i="1"/>
  <c r="E31" i="1"/>
  <c r="C21" i="1"/>
  <c r="N20" i="1"/>
  <c r="N19" i="1"/>
  <c r="N18" i="1"/>
  <c r="N17" i="1"/>
  <c r="N16" i="1"/>
  <c r="N15" i="1"/>
  <c r="N14" i="1"/>
  <c r="N13" i="1"/>
  <c r="N12" i="1"/>
  <c r="N11" i="1"/>
  <c r="L4" i="2" l="1"/>
  <c r="D7" i="1" s="1"/>
  <c r="D19" i="1"/>
  <c r="D27" i="1" s="1"/>
  <c r="E27" i="1" s="1"/>
  <c r="F27" i="1" s="1"/>
  <c r="D13" i="1"/>
  <c r="D11" i="1"/>
  <c r="D14" i="1"/>
  <c r="D18" i="1"/>
  <c r="D16" i="1"/>
  <c r="F16" i="1" l="1"/>
  <c r="E16" i="1"/>
  <c r="F11" i="1"/>
  <c r="E11" i="1"/>
  <c r="E14" i="1"/>
  <c r="F14" i="1"/>
  <c r="D15" i="1"/>
  <c r="E13" i="1"/>
  <c r="F13" i="1"/>
  <c r="D12" i="1"/>
  <c r="D21" i="1" s="1"/>
  <c r="F21" i="1" s="1"/>
  <c r="C7" i="1"/>
  <c r="E7" i="1" s="1"/>
  <c r="F7" i="1" s="1"/>
  <c r="D20" i="1"/>
  <c r="E19" i="1"/>
  <c r="F19" i="1"/>
  <c r="D17" i="1"/>
  <c r="E18" i="1"/>
  <c r="F18" i="1"/>
  <c r="F20" i="1" l="1"/>
  <c r="E20" i="1"/>
  <c r="F15" i="1"/>
  <c r="E15" i="1"/>
  <c r="F12" i="1"/>
  <c r="E12" i="1"/>
  <c r="E21" i="1" s="1"/>
  <c r="D25" i="1"/>
  <c r="E25" i="1" s="1"/>
  <c r="F25" i="1" s="1"/>
  <c r="F17" i="1"/>
  <c r="E17" i="1"/>
  <c r="D26" i="1"/>
  <c r="E26" i="1" s="1"/>
  <c r="F26" i="1" s="1"/>
</calcChain>
</file>

<file path=xl/sharedStrings.xml><?xml version="1.0" encoding="utf-8"?>
<sst xmlns="http://schemas.openxmlformats.org/spreadsheetml/2006/main" count="987" uniqueCount="117">
  <si>
    <t>Elige el mes y el año; el panel se actualiza con tus movimientos.</t>
  </si>
  <si>
    <t>Mes a analizar</t>
  </si>
  <si>
    <t>Agosto</t>
  </si>
  <si>
    <t>Año</t>
  </si>
  <si>
    <t>Ingresos del mes</t>
  </si>
  <si>
    <t>Gastos del mes</t>
  </si>
  <si>
    <t>Balance del mes</t>
  </si>
  <si>
    <t>Tasa de ahorro</t>
  </si>
  <si>
    <t>PRESUPUESTO DEL MES  ·  presupuestado vs. real</t>
  </si>
  <si>
    <t>Categoría</t>
  </si>
  <si>
    <t>Presupuesto</t>
  </si>
  <si>
    <t>Real</t>
  </si>
  <si>
    <t>Diferencia</t>
  </si>
  <si>
    <t>% usado</t>
  </si>
  <si>
    <t>Vivienda</t>
  </si>
  <si>
    <t>Suministros</t>
  </si>
  <si>
    <t>Alimentación</t>
  </si>
  <si>
    <t>Transporte</t>
  </si>
  <si>
    <t>Salud</t>
  </si>
  <si>
    <t>Restaurantes y Ocio</t>
  </si>
  <si>
    <t>Compras</t>
  </si>
  <si>
    <t>Suscripciones</t>
  </si>
  <si>
    <t>Ahorro e Inversión</t>
  </si>
  <si>
    <t>Otros</t>
  </si>
  <si>
    <t>TOTAL</t>
  </si>
  <si>
    <t>REGLA 50 / 30 / 20</t>
  </si>
  <si>
    <t>Objetivo</t>
  </si>
  <si>
    <t>% real</t>
  </si>
  <si>
    <t>Estado</t>
  </si>
  <si>
    <t>Necesidades</t>
  </si>
  <si>
    <t>Deseos</t>
  </si>
  <si>
    <t>Ahorro</t>
  </si>
  <si>
    <t>OBJETIVOS DE AHORRO</t>
  </si>
  <si>
    <t>Meta</t>
  </si>
  <si>
    <t>Ahorrado</t>
  </si>
  <si>
    <t xml:space="preserve">% </t>
  </si>
  <si>
    <t>Fecha objetivo</t>
  </si>
  <si>
    <t>Fondo de emergencia</t>
  </si>
  <si>
    <t>Viaje a Italia</t>
  </si>
  <si>
    <t>Ordenador nuevo</t>
  </si>
  <si>
    <t>Celdas editables (tus datos)</t>
  </si>
  <si>
    <t>Celdas calculadas automáticamente</t>
  </si>
  <si>
    <t>Meses</t>
  </si>
  <si>
    <t>Tipos</t>
  </si>
  <si>
    <t>CatIngreso</t>
  </si>
  <si>
    <t>CatGasto</t>
  </si>
  <si>
    <t>CatTodas</t>
  </si>
  <si>
    <t>Metodos</t>
  </si>
  <si>
    <t>Categoria</t>
  </si>
  <si>
    <t>Clasificacion</t>
  </si>
  <si>
    <t>Periodo seleccionado</t>
  </si>
  <si>
    <t>Enero</t>
  </si>
  <si>
    <t>Ingreso</t>
  </si>
  <si>
    <t>Nómina</t>
  </si>
  <si>
    <t>Domiciliación</t>
  </si>
  <si>
    <t>Mes nº</t>
  </si>
  <si>
    <t>Febrero</t>
  </si>
  <si>
    <t>Gasto</t>
  </si>
  <si>
    <t>Ingresos extra</t>
  </si>
  <si>
    <t>Tarjeta</t>
  </si>
  <si>
    <t>Inicio</t>
  </si>
  <si>
    <t>Marzo</t>
  </si>
  <si>
    <t>Transferencia</t>
  </si>
  <si>
    <t>Fin</t>
  </si>
  <si>
    <t>Abril</t>
  </si>
  <si>
    <t>Efectivo</t>
  </si>
  <si>
    <t>Mayo</t>
  </si>
  <si>
    <t>Bizum</t>
  </si>
  <si>
    <t>Junio</t>
  </si>
  <si>
    <t>Resumen anual</t>
  </si>
  <si>
    <t>Julio</t>
  </si>
  <si>
    <t>Mes</t>
  </si>
  <si>
    <t>Ingresos</t>
  </si>
  <si>
    <t>Gastos</t>
  </si>
  <si>
    <t>Septiembre</t>
  </si>
  <si>
    <t>Octubre</t>
  </si>
  <si>
    <t>Noviembre</t>
  </si>
  <si>
    <t>Diciembre</t>
  </si>
  <si>
    <t>MOVIMIENTOS</t>
  </si>
  <si>
    <t>Registra cada ingreso o gasto. Usa las listas desplegables de Tipo, Categoría y Método de pago para mantener todo coherente.</t>
  </si>
  <si>
    <t>Fecha</t>
  </si>
  <si>
    <t>Tipo</t>
  </si>
  <si>
    <t>Descripción</t>
  </si>
  <si>
    <t>Método de pago</t>
  </si>
  <si>
    <t>Importe</t>
  </si>
  <si>
    <t>Notas</t>
  </si>
  <si>
    <t>Nómina - Datvenda Analytics S.L.</t>
  </si>
  <si>
    <t>Alquiler apartamento</t>
  </si>
  <si>
    <t>Electricidad, agua y gas</t>
  </si>
  <si>
    <t>Compra en Carrefour</t>
  </si>
  <si>
    <t>Internet y móvil</t>
  </si>
  <si>
    <t>Rebajas de invierno</t>
  </si>
  <si>
    <t>Abono de transporte</t>
  </si>
  <si>
    <t>Cena con amigos</t>
  </si>
  <si>
    <t>Compra en Lidl</t>
  </si>
  <si>
    <t>Seguro médico privado</t>
  </si>
  <si>
    <t>Compras varias</t>
  </si>
  <si>
    <t>Compra en Día</t>
  </si>
  <si>
    <t>Plataformas de streaming</t>
  </si>
  <si>
    <t>Cuota del gimnasio</t>
  </si>
  <si>
    <t>Cine y planes</t>
  </si>
  <si>
    <t>Traspaso a fondo indexado</t>
  </si>
  <si>
    <t>Compra en Mercadona</t>
  </si>
  <si>
    <t>Gasolina</t>
  </si>
  <si>
    <t>Farmacia</t>
  </si>
  <si>
    <t>Venta de artículos de segunda mano</t>
  </si>
  <si>
    <t>Revisión dental</t>
  </si>
  <si>
    <t>Paga extra</t>
  </si>
  <si>
    <t>Vacaciones - comidas</t>
  </si>
  <si>
    <t>Vacaciones - varios</t>
  </si>
  <si>
    <t>Gasolina del viaje</t>
  </si>
  <si>
    <t>Curso de formación online</t>
  </si>
  <si>
    <t>Proyecto freelance de análisis</t>
  </si>
  <si>
    <t>Regalos de Navidad</t>
  </si>
  <si>
    <t>Cena de empresa</t>
  </si>
  <si>
    <t>Lotería de Navidad</t>
  </si>
  <si>
    <t>PANEL DE CONTROL FINANCIERO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</si>
</sst>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€&quot;"/>
    <numFmt numFmtId="165" formatCode="0.0%"/>
    <numFmt numFmtId="166" formatCode="#,##0.00&quot; €&quot;"/>
  </numFmts>
  <fonts count="16" x14ac:knownFonts="1">
    <font>
      <sz val="11"/>
      <color theme="1"/>
      <name val="Calibri"/>
      <family val="2"/>
      <charset val="1"/>
    </font>
    <font>
      <b/>
      <sz val="17"/>
      <color rgb="FFFFFFFF"/>
      <name val="Arial"/>
      <charset val="1"/>
    </font>
    <font>
      <i/>
      <sz val="9.5"/>
      <color rgb="FF5C6560"/>
      <name val="Arial"/>
      <charset val="1"/>
    </font>
    <font>
      <b/>
      <sz val="10"/>
      <color rgb="FF1A1A1A"/>
      <name val="Arial"/>
      <charset val="1"/>
    </font>
    <font>
      <sz val="10"/>
      <color rgb="FF1A1A1A"/>
      <name val="Arial"/>
      <charset val="1"/>
    </font>
    <font>
      <b/>
      <sz val="9"/>
      <color rgb="FFFFFFFF"/>
      <name val="Arial"/>
      <charset val="1"/>
    </font>
    <font>
      <b/>
      <sz val="15"/>
      <color rgb="FF16251E"/>
      <name val="Arial"/>
      <charset val="1"/>
    </font>
    <font>
      <b/>
      <sz val="10.5"/>
      <color rgb="FFFFFFFF"/>
      <name val="Arial"/>
      <charset val="1"/>
    </font>
    <font>
      <b/>
      <sz val="9.5"/>
      <color rgb="FFFFFFFF"/>
      <name val="Arial"/>
      <charset val="1"/>
    </font>
    <font>
      <sz val="9"/>
      <color rgb="FF8A8F88"/>
      <name val="Arial"/>
      <charset val="1"/>
    </font>
    <font>
      <b/>
      <sz val="10"/>
      <color rgb="FFFFFFFF"/>
      <name val="Arial"/>
      <charset val="1"/>
    </font>
    <font>
      <i/>
      <sz val="8.5"/>
      <color rgb="FF8A8F88"/>
      <name val="Arial"/>
      <charset val="1"/>
    </font>
    <font>
      <b/>
      <sz val="9"/>
      <color rgb="FF22352C"/>
      <name val="Arial"/>
      <charset val="1"/>
    </font>
    <font>
      <sz val="9.5"/>
      <name val="Arial"/>
      <charset val="1"/>
    </font>
    <font>
      <sz val="9"/>
      <name val="Arial"/>
      <charset val="1"/>
    </font>
    <font>
      <b/>
      <sz val="15"/>
      <color rgb="FFFFFFFF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FF22352C"/>
        <bgColor rgb="FF16251E"/>
      </patternFill>
    </fill>
    <fill>
      <patternFill patternType="solid">
        <fgColor rgb="FFFBEFD6"/>
        <bgColor rgb="FFF5F2EC"/>
      </patternFill>
    </fill>
    <fill>
      <patternFill patternType="solid">
        <fgColor rgb="FFF5F2EC"/>
        <bgColor rgb="FFEBEFEC"/>
      </patternFill>
    </fill>
    <fill>
      <patternFill patternType="solid">
        <fgColor rgb="FF44715C"/>
        <bgColor rgb="FF4E6E5D"/>
      </patternFill>
    </fill>
    <fill>
      <patternFill patternType="solid">
        <fgColor rgb="FFEBEFEC"/>
        <bgColor rgb="FFF5F2EC"/>
      </patternFill>
    </fill>
    <fill>
      <patternFill patternType="solid">
        <fgColor rgb="FF16251E"/>
        <bgColor rgb="FF1A1A1A"/>
      </patternFill>
    </fill>
    <fill>
      <patternFill patternType="solid">
        <fgColor rgb="FFC1703F"/>
        <bgColor rgb="FFA8674A"/>
      </patternFill>
    </fill>
  </fills>
  <borders count="3">
    <border>
      <left/>
      <right/>
      <top/>
      <bottom/>
      <diagonal/>
    </border>
    <border>
      <left style="thin">
        <color rgb="FFD6DAD5"/>
      </left>
      <right/>
      <top style="thin">
        <color rgb="FFD6DAD5"/>
      </top>
      <bottom style="thin">
        <color rgb="FFD6DAD5"/>
      </bottom>
      <diagonal/>
    </border>
    <border>
      <left style="thin">
        <color rgb="FFD6DAD5"/>
      </left>
      <right style="thin">
        <color rgb="FFD6DAD5"/>
      </right>
      <top style="thin">
        <color rgb="FFD6DAD5"/>
      </top>
      <bottom style="thin">
        <color rgb="FFD6DAD5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5" fillId="2" borderId="0" xfId="0" applyFont="1" applyFill="1" applyAlignment="1">
      <alignment horizontal="left" vertical="center" indent="1"/>
    </xf>
    <xf numFmtId="0" fontId="11" fillId="0" borderId="0" xfId="0" applyFont="1"/>
    <xf numFmtId="0" fontId="7" fillId="8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1" fontId="4" fillId="3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5" fontId="6" fillId="4" borderId="0" xfId="0" applyNumberFormat="1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indent="1"/>
    </xf>
    <xf numFmtId="164" fontId="4" fillId="3" borderId="2" xfId="0" applyNumberFormat="1" applyFont="1" applyFill="1" applyBorder="1" applyAlignment="1">
      <alignment horizontal="center" vertical="center"/>
    </xf>
    <xf numFmtId="164" fontId="4" fillId="6" borderId="2" xfId="0" applyNumberFormat="1" applyFont="1" applyFill="1" applyBorder="1" applyAlignment="1">
      <alignment horizontal="center" vertical="center"/>
    </xf>
    <xf numFmtId="165" fontId="3" fillId="6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4" fillId="0" borderId="2" xfId="0" applyFont="1" applyBorder="1" applyAlignment="1">
      <alignment horizontal="left" vertical="center" indent="1"/>
    </xf>
    <xf numFmtId="164" fontId="4" fillId="0" borderId="2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 indent="1"/>
    </xf>
    <xf numFmtId="164" fontId="10" fillId="7" borderId="2" xfId="0" applyNumberFormat="1" applyFont="1" applyFill="1" applyBorder="1" applyAlignment="1">
      <alignment horizontal="center" vertical="center"/>
    </xf>
    <xf numFmtId="165" fontId="10" fillId="7" borderId="2" xfId="0" applyNumberFormat="1" applyFont="1" applyFill="1" applyBorder="1" applyAlignment="1">
      <alignment horizontal="center" vertical="center"/>
    </xf>
    <xf numFmtId="165" fontId="4" fillId="6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/>
    <xf numFmtId="0" fontId="0" fillId="4" borderId="2" xfId="0" applyFill="1" applyBorder="1"/>
    <xf numFmtId="0" fontId="5" fillId="2" borderId="0" xfId="0" applyFont="1" applyFill="1"/>
    <xf numFmtId="0" fontId="12" fillId="0" borderId="0" xfId="0" applyFont="1"/>
    <xf numFmtId="0" fontId="13" fillId="0" borderId="0" xfId="0" applyFont="1"/>
    <xf numFmtId="14" fontId="9" fillId="0" borderId="0" xfId="0" applyNumberFormat="1" applyFont="1"/>
    <xf numFmtId="0" fontId="14" fillId="0" borderId="0" xfId="0" applyFont="1"/>
    <xf numFmtId="164" fontId="14" fillId="0" borderId="0" xfId="0" applyNumberFormat="1" applyFont="1"/>
    <xf numFmtId="14" fontId="4" fillId="0" borderId="2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4" fontId="4" fillId="6" borderId="2" xfId="0" applyNumberFormat="1" applyFont="1" applyFill="1" applyBorder="1" applyAlignment="1">
      <alignment horizontal="center" vertical="center"/>
    </xf>
    <xf numFmtId="166" fontId="4" fillId="6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Standard" xfId="0" builtinId="0"/>
  </cellStyles>
  <dxfs count="5">
    <dxf>
      <font>
        <b/>
        <color rgb="FF2F7D4F"/>
      </font>
    </dxf>
    <dxf>
      <font>
        <b/>
        <color rgb="FFA63B2E"/>
      </font>
    </dxf>
    <dxf>
      <font>
        <b/>
        <color rgb="FFA63B2E"/>
      </font>
    </dxf>
    <dxf>
      <font>
        <b/>
        <sz val="15"/>
        <color rgb="FFA63B2E"/>
      </font>
    </dxf>
    <dxf>
      <font>
        <b/>
        <sz val="15"/>
        <color rgb="FF2F7D4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674A"/>
      <rgbColor rgb="FF800080"/>
      <rgbColor rgb="FF44715C"/>
      <rgbColor rgb="FFD6DAD5"/>
      <rgbColor rgb="FF878787"/>
      <rgbColor rgb="FF8AA79B"/>
      <rgbColor rgb="FF993366"/>
      <rgbColor rgb="FFFBEFD6"/>
      <rgbColor rgb="FFEBEFEC"/>
      <rgbColor rgb="FF660066"/>
      <rgbColor rgb="FFB08968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4E6E5D"/>
      <rgbColor rgb="FF0000FF"/>
      <rgbColor rgb="FF00CCFF"/>
      <rgbColor rgb="FFF5F2EC"/>
      <rgbColor rgb="FFCCFFCC"/>
      <rgbColor rgb="FFFFFF99"/>
      <rgbColor rgb="FF99CCFF"/>
      <rgbColor rgb="FFFF99CC"/>
      <rgbColor rgb="FFCC99FF"/>
      <rgbColor rgb="FFD8B08C"/>
      <rgbColor rgb="FF4F81BD"/>
      <rgbColor rgb="FF6E8B7B"/>
      <rgbColor rgb="FF99CC00"/>
      <rgbColor rgb="FFFFCC00"/>
      <rgbColor rgb="FFC9A227"/>
      <rgbColor rgb="FFC1703F"/>
      <rgbColor rgb="FF5C6560"/>
      <rgbColor rgb="FF8A8F88"/>
      <rgbColor rgb="FF003366"/>
      <rgbColor rgb="FF2F7D4F"/>
      <rgbColor rgb="FF16251E"/>
      <rgbColor rgb="FF1A1A1A"/>
      <rgbColor rgb="FFA63B2E"/>
      <rgbColor rgb="FF993366"/>
      <rgbColor rgb="FF333399"/>
      <rgbColor rgb="FF2235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5F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Gastos por categoría (mes seleccionado)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Panel!$D$10</c:f>
              <c:strCache>
                <c:ptCount val="1"/>
                <c:pt idx="0">
                  <c:v>Real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22352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10D2-40AA-956F-693B9400DB01}"/>
              </c:ext>
            </c:extLst>
          </c:dPt>
          <c:dPt>
            <c:idx val="1"/>
            <c:bubble3D val="0"/>
            <c:spPr>
              <a:solidFill>
                <a:srgbClr val="44715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10D2-40AA-956F-693B9400DB01}"/>
              </c:ext>
            </c:extLst>
          </c:dPt>
          <c:dPt>
            <c:idx val="2"/>
            <c:bubble3D val="0"/>
            <c:spPr>
              <a:solidFill>
                <a:srgbClr val="C1703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10D2-40AA-956F-693B9400DB01}"/>
              </c:ext>
            </c:extLst>
          </c:dPt>
          <c:dPt>
            <c:idx val="3"/>
            <c:bubble3D val="0"/>
            <c:spPr>
              <a:solidFill>
                <a:srgbClr val="C9A22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10D2-40AA-956F-693B9400DB01}"/>
              </c:ext>
            </c:extLst>
          </c:dPt>
          <c:dPt>
            <c:idx val="4"/>
            <c:bubble3D val="0"/>
            <c:spPr>
              <a:solidFill>
                <a:srgbClr val="6E8B7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10D2-40AA-956F-693B9400DB01}"/>
              </c:ext>
            </c:extLst>
          </c:dPt>
          <c:dPt>
            <c:idx val="5"/>
            <c:bubble3D val="0"/>
            <c:spPr>
              <a:solidFill>
                <a:srgbClr val="A8674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10D2-40AA-956F-693B9400DB01}"/>
              </c:ext>
            </c:extLst>
          </c:dPt>
          <c:dPt>
            <c:idx val="6"/>
            <c:bubble3D val="0"/>
            <c:spPr>
              <a:solidFill>
                <a:srgbClr val="8AA79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10D2-40AA-956F-693B9400DB01}"/>
              </c:ext>
            </c:extLst>
          </c:dPt>
          <c:dPt>
            <c:idx val="7"/>
            <c:bubble3D val="0"/>
            <c:spPr>
              <a:solidFill>
                <a:srgbClr val="D8B08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10D2-40AA-956F-693B9400DB01}"/>
              </c:ext>
            </c:extLst>
          </c:dPt>
          <c:dPt>
            <c:idx val="8"/>
            <c:bubble3D val="0"/>
            <c:spPr>
              <a:solidFill>
                <a:srgbClr val="4E6E5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10D2-40AA-956F-693B9400DB01}"/>
              </c:ext>
            </c:extLst>
          </c:dPt>
          <c:dPt>
            <c:idx val="9"/>
            <c:bubble3D val="0"/>
            <c:spPr>
              <a:solidFill>
                <a:srgbClr val="B0896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3-10D2-40AA-956F-693B9400DB01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10D2-40AA-956F-693B9400DB01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10D2-40AA-956F-693B9400DB01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10D2-40AA-956F-693B9400DB01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7-10D2-40AA-956F-693B9400DB01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9-10D2-40AA-956F-693B9400DB01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B-10D2-40AA-956F-693B9400DB01}"/>
                </c:ext>
              </c:extLst>
            </c:dLbl>
            <c:dLbl>
              <c:idx val="6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D-10D2-40AA-956F-693B9400DB01}"/>
                </c:ext>
              </c:extLst>
            </c:dLbl>
            <c:dLbl>
              <c:idx val="7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F-10D2-40AA-956F-693B9400DB01}"/>
                </c:ext>
              </c:extLst>
            </c:dLbl>
            <c:dLbl>
              <c:idx val="8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11-10D2-40AA-956F-693B9400DB01}"/>
                </c:ext>
              </c:extLst>
            </c:dLbl>
            <c:dLbl>
              <c:idx val="9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13-10D2-40AA-956F-693B9400DB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1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Panel!$B$11:$B$20</c:f>
              <c:strCache>
                <c:ptCount val="10"/>
                <c:pt idx="0">
                  <c:v>Vivienda</c:v>
                </c:pt>
                <c:pt idx="1">
                  <c:v>Suministros</c:v>
                </c:pt>
                <c:pt idx="2">
                  <c:v>Alimentación</c:v>
                </c:pt>
                <c:pt idx="3">
                  <c:v>Transporte</c:v>
                </c:pt>
                <c:pt idx="4">
                  <c:v>Salud</c:v>
                </c:pt>
                <c:pt idx="5">
                  <c:v>Restaurantes y Ocio</c:v>
                </c:pt>
                <c:pt idx="6">
                  <c:v>Compras</c:v>
                </c:pt>
                <c:pt idx="7">
                  <c:v>Suscripciones</c:v>
                </c:pt>
                <c:pt idx="8">
                  <c:v>Ahorro e Inversión</c:v>
                </c:pt>
                <c:pt idx="9">
                  <c:v>Otros</c:v>
                </c:pt>
              </c:strCache>
            </c:strRef>
          </c:cat>
          <c:val>
            <c:numRef>
              <c:f>Panel!$D$11:$D$20</c:f>
              <c:numCache>
                <c:formatCode>#,##0" €"</c:formatCode>
                <c:ptCount val="10"/>
                <c:pt idx="0">
                  <c:v>720</c:v>
                </c:pt>
                <c:pt idx="1">
                  <c:v>137</c:v>
                </c:pt>
                <c:pt idx="2">
                  <c:v>278</c:v>
                </c:pt>
                <c:pt idx="3">
                  <c:v>208</c:v>
                </c:pt>
                <c:pt idx="4">
                  <c:v>42</c:v>
                </c:pt>
                <c:pt idx="5">
                  <c:v>291</c:v>
                </c:pt>
                <c:pt idx="6">
                  <c:v>246</c:v>
                </c:pt>
                <c:pt idx="7">
                  <c:v>50</c:v>
                </c:pt>
                <c:pt idx="8">
                  <c:v>400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0D2-40AA-956F-693B9400D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5F2EC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Ingresos y gastos del año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Ajustes!$L$8</c:f>
              <c:strCache>
                <c:ptCount val="1"/>
                <c:pt idx="0">
                  <c:v>Ingresos</c:v>
                </c:pt>
              </c:strCache>
            </c:strRef>
          </c:tx>
          <c:spPr>
            <a:solidFill>
              <a:srgbClr val="44715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Ajustes!$K$9:$K$20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Ajustes!$L$9:$L$20</c:f>
              <c:numCache>
                <c:formatCode>#,##0" €"</c:formatCode>
                <c:ptCount val="12"/>
                <c:pt idx="0">
                  <c:v>2300</c:v>
                </c:pt>
                <c:pt idx="1">
                  <c:v>2300</c:v>
                </c:pt>
                <c:pt idx="2">
                  <c:v>2300</c:v>
                </c:pt>
                <c:pt idx="3">
                  <c:v>2385</c:v>
                </c:pt>
                <c:pt idx="4">
                  <c:v>2300</c:v>
                </c:pt>
                <c:pt idx="5">
                  <c:v>2300</c:v>
                </c:pt>
                <c:pt idx="6">
                  <c:v>3450</c:v>
                </c:pt>
                <c:pt idx="7">
                  <c:v>2300</c:v>
                </c:pt>
                <c:pt idx="8">
                  <c:v>2300</c:v>
                </c:pt>
                <c:pt idx="9">
                  <c:v>2450</c:v>
                </c:pt>
                <c:pt idx="10">
                  <c:v>2300</c:v>
                </c:pt>
                <c:pt idx="11">
                  <c:v>3450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AF-4E11-AA7B-C83A6A38DCD3}"/>
            </c:ext>
          </c:extLst>
        </c:ser>
        <c:ser>
          <c:idx val="1"/>
          <c:order val="1"/>
          <c:tx>
            <c:strRef>
              <c:f>Ajustes!$M$8</c:f>
              <c:strCache>
                <c:ptCount val="1"/>
                <c:pt idx="0">
                  <c:v>Gastos</c:v>
                </c:pt>
              </c:strCache>
            </c:strRef>
          </c:tx>
          <c:spPr>
            <a:solidFill>
              <a:srgbClr val="C1703F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Ajustes!$K$9:$K$20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Ajustes!$M$9:$M$20</c:f>
              <c:numCache>
                <c:formatCode>#,##0" €"</c:formatCode>
                <c:ptCount val="12"/>
                <c:pt idx="0">
                  <c:v>1905</c:v>
                </c:pt>
                <c:pt idx="1">
                  <c:v>1851</c:v>
                </c:pt>
                <c:pt idx="2">
                  <c:v>1797</c:v>
                </c:pt>
                <c:pt idx="3">
                  <c:v>1910</c:v>
                </c:pt>
                <c:pt idx="4">
                  <c:v>1845</c:v>
                </c:pt>
                <c:pt idx="5">
                  <c:v>1894</c:v>
                </c:pt>
                <c:pt idx="6">
                  <c:v>1876</c:v>
                </c:pt>
                <c:pt idx="7">
                  <c:v>2372</c:v>
                </c:pt>
                <c:pt idx="8">
                  <c:v>1964</c:v>
                </c:pt>
                <c:pt idx="9">
                  <c:v>1900</c:v>
                </c:pt>
                <c:pt idx="10">
                  <c:v>1888</c:v>
                </c:pt>
                <c:pt idx="11">
                  <c:v>2284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AF-4E11-AA7B-C83A6A38D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569661"/>
        <c:axId val="4059999"/>
      </c:barChart>
      <c:lineChart>
        <c:grouping val="standard"/>
        <c:varyColors val="0"/>
        <c:ser>
          <c:idx val="2"/>
          <c:order val="2"/>
          <c:tx>
            <c:strRef>
              <c:f>Ajustes!$N$8</c:f>
              <c:strCache>
                <c:ptCount val="1"/>
                <c:pt idx="0">
                  <c:v>Ahorro</c:v>
                </c:pt>
              </c:strCache>
            </c:strRef>
          </c:tx>
          <c:spPr>
            <a:ln w="21960">
              <a:solidFill>
                <a:srgbClr val="16251E"/>
              </a:solidFill>
              <a:round/>
            </a:ln>
          </c:spPr>
          <c:marker>
            <c:symbol val="circle"/>
            <c:size val="5"/>
            <c:spPr>
              <a:solidFill>
                <a:srgbClr val="16251E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Ajustes!$K$9:$K$20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Ajustes!$N$9:$N$20</c:f>
              <c:numCache>
                <c:formatCode>#,##0" €"</c:formatCode>
                <c:ptCount val="12"/>
                <c:pt idx="0">
                  <c:v>395</c:v>
                </c:pt>
                <c:pt idx="1">
                  <c:v>449</c:v>
                </c:pt>
                <c:pt idx="2">
                  <c:v>503</c:v>
                </c:pt>
                <c:pt idx="3">
                  <c:v>475</c:v>
                </c:pt>
                <c:pt idx="4">
                  <c:v>455</c:v>
                </c:pt>
                <c:pt idx="5">
                  <c:v>406</c:v>
                </c:pt>
                <c:pt idx="6">
                  <c:v>1574</c:v>
                </c:pt>
                <c:pt idx="7">
                  <c:v>-72</c:v>
                </c:pt>
                <c:pt idx="8">
                  <c:v>336</c:v>
                </c:pt>
                <c:pt idx="9">
                  <c:v>550</c:v>
                </c:pt>
                <c:pt idx="10">
                  <c:v>412</c:v>
                </c:pt>
                <c:pt idx="11">
                  <c:v>1166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DAF-4E11-AA7B-C83A6A38D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84569661"/>
        <c:axId val="4059999"/>
      </c:lineChart>
      <c:catAx>
        <c:axId val="8456966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059999"/>
        <c:crosses val="autoZero"/>
        <c:auto val="1"/>
        <c:lblAlgn val="ctr"/>
        <c:lblOffset val="100"/>
        <c:noMultiLvlLbl val="0"/>
      </c:catAx>
      <c:valAx>
        <c:axId val="405999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€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4569661"/>
        <c:crosses val="autoZero"/>
        <c:crossBetween val="between"/>
      </c:valAx>
      <c:spPr>
        <a:solidFill>
          <a:schemeClr val="bg1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5F2EC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16</xdr:row>
      <xdr:rowOff>180974</xdr:rowOff>
    </xdr:from>
    <xdr:to>
      <xdr:col>16</xdr:col>
      <xdr:colOff>133350</xdr:colOff>
      <xdr:row>32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47625</xdr:colOff>
      <xdr:row>2</xdr:row>
      <xdr:rowOff>180975</xdr:rowOff>
    </xdr:from>
    <xdr:to>
      <xdr:col>16</xdr:col>
      <xdr:colOff>131655</xdr:colOff>
      <xdr:row>16</xdr:row>
      <xdr:rowOff>135345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2352C"/>
    <pageSetUpPr fitToPage="1"/>
  </sheetPr>
  <dimension ref="B1:P36"/>
  <sheetViews>
    <sheetView showGridLines="0" tabSelected="1" zoomScaleNormal="100" workbookViewId="0">
      <selection activeCell="S43" sqref="S43"/>
    </sheetView>
  </sheetViews>
  <sheetFormatPr baseColWidth="10" defaultColWidth="8.7109375" defaultRowHeight="15" x14ac:dyDescent="0.25"/>
  <cols>
    <col min="1" max="1" width="2.42578125" customWidth="1"/>
    <col min="2" max="2" width="22" customWidth="1"/>
    <col min="3" max="6" width="15" customWidth="1"/>
    <col min="14" max="14" width="13" hidden="1" customWidth="1"/>
  </cols>
  <sheetData>
    <row r="1" spans="2:16" ht="31.5" customHeight="1" x14ac:dyDescent="0.25">
      <c r="B1" s="42" t="s">
        <v>116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2:16" ht="15" customHeight="1" x14ac:dyDescent="0.25">
      <c r="B2" s="6" t="s">
        <v>0</v>
      </c>
      <c r="C2" s="6"/>
      <c r="D2" s="6"/>
      <c r="E2" s="6"/>
      <c r="F2" s="6"/>
      <c r="G2" s="6"/>
    </row>
    <row r="4" spans="2:16" ht="19.5" customHeight="1" x14ac:dyDescent="0.25">
      <c r="B4" s="7" t="s">
        <v>1</v>
      </c>
      <c r="C4" s="5" t="s">
        <v>2</v>
      </c>
      <c r="D4" s="5"/>
      <c r="E4" s="8" t="s">
        <v>3</v>
      </c>
      <c r="F4" s="9">
        <v>2025</v>
      </c>
    </row>
    <row r="6" spans="2:16" ht="15.75" customHeight="1" x14ac:dyDescent="0.25">
      <c r="C6" s="10" t="s">
        <v>4</v>
      </c>
      <c r="D6" s="10" t="s">
        <v>5</v>
      </c>
      <c r="E6" s="10" t="s">
        <v>6</v>
      </c>
      <c r="F6" s="10" t="s">
        <v>7</v>
      </c>
    </row>
    <row r="7" spans="2:16" ht="33.75" customHeight="1" x14ac:dyDescent="0.25">
      <c r="C7" s="11">
        <f>SUMIFS(Movimientos!$F:$F,Movimientos!$B:$B,"Ingreso",Movimientos!$A:$A,"&gt;="&amp;Ajustes!$L$3,Movimientos!$A:$A,"&lt;="&amp;Ajustes!$L$4)</f>
        <v>2300</v>
      </c>
      <c r="D7" s="11">
        <f>SUMIFS(Movimientos!$F:$F,Movimientos!$B:$B,"Gasto",Movimientos!$A:$A,"&gt;="&amp;Ajustes!$L$3,Movimientos!$A:$A,"&lt;="&amp;Ajustes!$L$4)</f>
        <v>2372</v>
      </c>
      <c r="E7" s="11">
        <f>C7-D7</f>
        <v>-72</v>
      </c>
      <c r="F7" s="12">
        <f>IFERROR(E7/C7,0)</f>
        <v>-3.1304347826086959E-2</v>
      </c>
    </row>
    <row r="9" spans="2:16" ht="16.5" customHeight="1" x14ac:dyDescent="0.25">
      <c r="B9" s="4" t="s">
        <v>8</v>
      </c>
      <c r="C9" s="4"/>
      <c r="D9" s="4"/>
      <c r="E9" s="4"/>
      <c r="F9" s="4"/>
    </row>
    <row r="10" spans="2:16" ht="24" customHeight="1" x14ac:dyDescent="0.25">
      <c r="B10" s="13" t="s">
        <v>9</v>
      </c>
      <c r="C10" s="13" t="s">
        <v>10</v>
      </c>
      <c r="D10" s="13" t="s">
        <v>11</v>
      </c>
      <c r="E10" s="13" t="s">
        <v>12</v>
      </c>
      <c r="F10" s="13" t="s">
        <v>13</v>
      </c>
    </row>
    <row r="11" spans="2:16" x14ac:dyDescent="0.25">
      <c r="B11" s="14" t="s">
        <v>14</v>
      </c>
      <c r="C11" s="15">
        <v>720</v>
      </c>
      <c r="D11" s="16">
        <f>SUMIFS(Movimientos!$F:$F,Movimientos!$B:$B,"Gasto",Movimientos!$C:$C,$B11,Movimientos!$A:$A,"&gt;="&amp;Ajustes!$L$3,Movimientos!$A:$A,"&lt;="&amp;Ajustes!$L$4)</f>
        <v>720</v>
      </c>
      <c r="E11" s="16">
        <f t="shared" ref="E11:E20" si="0">C11-D11</f>
        <v>0</v>
      </c>
      <c r="F11" s="17">
        <f t="shared" ref="F11:F21" si="1">IFERROR(D11/C11,0)</f>
        <v>1</v>
      </c>
      <c r="N11" s="18" t="str">
        <f>INDEX(Ajustes!$I$2:$I$11,MATCH($B11,Ajustes!$H$2:$H$11,0))</f>
        <v>Necesidades</v>
      </c>
    </row>
    <row r="12" spans="2:16" x14ac:dyDescent="0.25">
      <c r="B12" s="19" t="s">
        <v>15</v>
      </c>
      <c r="C12" s="15">
        <v>140</v>
      </c>
      <c r="D12" s="20">
        <f>SUMIFS(Movimientos!$F:$F,Movimientos!$B:$B,"Gasto",Movimientos!$C:$C,$B12,Movimientos!$A:$A,"&gt;="&amp;Ajustes!$L$3,Movimientos!$A:$A,"&lt;="&amp;Ajustes!$L$4)</f>
        <v>137</v>
      </c>
      <c r="E12" s="20">
        <f t="shared" si="0"/>
        <v>3</v>
      </c>
      <c r="F12" s="21">
        <f t="shared" si="1"/>
        <v>0.97857142857142854</v>
      </c>
      <c r="N12" s="18" t="str">
        <f>INDEX(Ajustes!$I$2:$I$11,MATCH($B12,Ajustes!$H$2:$H$11,0))</f>
        <v>Necesidades</v>
      </c>
    </row>
    <row r="13" spans="2:16" x14ac:dyDescent="0.25">
      <c r="B13" s="14" t="s">
        <v>16</v>
      </c>
      <c r="C13" s="15">
        <v>320</v>
      </c>
      <c r="D13" s="16">
        <f>SUMIFS(Movimientos!$F:$F,Movimientos!$B:$B,"Gasto",Movimientos!$C:$C,$B13,Movimientos!$A:$A,"&gt;="&amp;Ajustes!$L$3,Movimientos!$A:$A,"&lt;="&amp;Ajustes!$L$4)</f>
        <v>278</v>
      </c>
      <c r="E13" s="16">
        <f t="shared" si="0"/>
        <v>42</v>
      </c>
      <c r="F13" s="17">
        <f t="shared" si="1"/>
        <v>0.86875000000000002</v>
      </c>
      <c r="N13" s="18" t="str">
        <f>INDEX(Ajustes!$I$2:$I$11,MATCH($B13,Ajustes!$H$2:$H$11,0))</f>
        <v>Necesidades</v>
      </c>
    </row>
    <row r="14" spans="2:16" x14ac:dyDescent="0.25">
      <c r="B14" s="19" t="s">
        <v>17</v>
      </c>
      <c r="C14" s="15">
        <v>80</v>
      </c>
      <c r="D14" s="20">
        <f>SUMIFS(Movimientos!$F:$F,Movimientos!$B:$B,"Gasto",Movimientos!$C:$C,$B14,Movimientos!$A:$A,"&gt;="&amp;Ajustes!$L$3,Movimientos!$A:$A,"&lt;="&amp;Ajustes!$L$4)</f>
        <v>208</v>
      </c>
      <c r="E14" s="20">
        <f t="shared" si="0"/>
        <v>-128</v>
      </c>
      <c r="F14" s="21">
        <f t="shared" si="1"/>
        <v>2.6</v>
      </c>
      <c r="N14" s="18" t="str">
        <f>INDEX(Ajustes!$I$2:$I$11,MATCH($B14,Ajustes!$H$2:$H$11,0))</f>
        <v>Necesidades</v>
      </c>
    </row>
    <row r="15" spans="2:16" x14ac:dyDescent="0.25">
      <c r="B15" s="14" t="s">
        <v>18</v>
      </c>
      <c r="C15" s="15">
        <v>60</v>
      </c>
      <c r="D15" s="16">
        <f>SUMIFS(Movimientos!$F:$F,Movimientos!$B:$B,"Gasto",Movimientos!$C:$C,$B15,Movimientos!$A:$A,"&gt;="&amp;Ajustes!$L$3,Movimientos!$A:$A,"&lt;="&amp;Ajustes!$L$4)</f>
        <v>42</v>
      </c>
      <c r="E15" s="16">
        <f t="shared" si="0"/>
        <v>18</v>
      </c>
      <c r="F15" s="17">
        <f t="shared" si="1"/>
        <v>0.7</v>
      </c>
      <c r="N15" s="18" t="str">
        <f>INDEX(Ajustes!$I$2:$I$11,MATCH($B15,Ajustes!$H$2:$H$11,0))</f>
        <v>Necesidades</v>
      </c>
    </row>
    <row r="16" spans="2:16" x14ac:dyDescent="0.25">
      <c r="B16" s="19" t="s">
        <v>19</v>
      </c>
      <c r="C16" s="15">
        <v>170</v>
      </c>
      <c r="D16" s="20">
        <f>SUMIFS(Movimientos!$F:$F,Movimientos!$B:$B,"Gasto",Movimientos!$C:$C,$B16,Movimientos!$A:$A,"&gt;="&amp;Ajustes!$L$3,Movimientos!$A:$A,"&lt;="&amp;Ajustes!$L$4)</f>
        <v>291</v>
      </c>
      <c r="E16" s="20">
        <f t="shared" si="0"/>
        <v>-121</v>
      </c>
      <c r="F16" s="21">
        <f t="shared" si="1"/>
        <v>1.7117647058823529</v>
      </c>
      <c r="N16" s="18" t="str">
        <f>INDEX(Ajustes!$I$2:$I$11,MATCH($B16,Ajustes!$H$2:$H$11,0))</f>
        <v>Deseos</v>
      </c>
    </row>
    <row r="17" spans="2:14" x14ac:dyDescent="0.25">
      <c r="B17" s="14" t="s">
        <v>20</v>
      </c>
      <c r="C17" s="15">
        <v>120</v>
      </c>
      <c r="D17" s="16">
        <f>SUMIFS(Movimientos!$F:$F,Movimientos!$B:$B,"Gasto",Movimientos!$C:$C,$B17,Movimientos!$A:$A,"&gt;="&amp;Ajustes!$L$3,Movimientos!$A:$A,"&lt;="&amp;Ajustes!$L$4)</f>
        <v>246</v>
      </c>
      <c r="E17" s="16">
        <f t="shared" si="0"/>
        <v>-126</v>
      </c>
      <c r="F17" s="17">
        <f t="shared" si="1"/>
        <v>2.0499999999999998</v>
      </c>
      <c r="N17" s="18" t="str">
        <f>INDEX(Ajustes!$I$2:$I$11,MATCH($B17,Ajustes!$H$2:$H$11,0))</f>
        <v>Deseos</v>
      </c>
    </row>
    <row r="18" spans="2:14" x14ac:dyDescent="0.25">
      <c r="B18" s="19" t="s">
        <v>21</v>
      </c>
      <c r="C18" s="15">
        <v>50</v>
      </c>
      <c r="D18" s="20">
        <f>SUMIFS(Movimientos!$F:$F,Movimientos!$B:$B,"Gasto",Movimientos!$C:$C,$B18,Movimientos!$A:$A,"&gt;="&amp;Ajustes!$L$3,Movimientos!$A:$A,"&lt;="&amp;Ajustes!$L$4)</f>
        <v>50</v>
      </c>
      <c r="E18" s="20">
        <f t="shared" si="0"/>
        <v>0</v>
      </c>
      <c r="F18" s="21">
        <f t="shared" si="1"/>
        <v>1</v>
      </c>
      <c r="N18" s="18" t="str">
        <f>INDEX(Ajustes!$I$2:$I$11,MATCH($B18,Ajustes!$H$2:$H$11,0))</f>
        <v>Deseos</v>
      </c>
    </row>
    <row r="19" spans="2:14" x14ac:dyDescent="0.25">
      <c r="B19" s="14" t="s">
        <v>22</v>
      </c>
      <c r="C19" s="15">
        <v>420</v>
      </c>
      <c r="D19" s="16">
        <f>SUMIFS(Movimientos!$F:$F,Movimientos!$B:$B,"Gasto",Movimientos!$C:$C,$B19,Movimientos!$A:$A,"&gt;="&amp;Ajustes!$L$3,Movimientos!$A:$A,"&lt;="&amp;Ajustes!$L$4)</f>
        <v>400</v>
      </c>
      <c r="E19" s="16">
        <f t="shared" si="0"/>
        <v>20</v>
      </c>
      <c r="F19" s="17">
        <f t="shared" si="1"/>
        <v>0.95238095238095233</v>
      </c>
      <c r="N19" s="18" t="str">
        <f>INDEX(Ajustes!$I$2:$I$11,MATCH($B19,Ajustes!$H$2:$H$11,0))</f>
        <v>Ahorro</v>
      </c>
    </row>
    <row r="20" spans="2:14" x14ac:dyDescent="0.25">
      <c r="B20" s="19" t="s">
        <v>23</v>
      </c>
      <c r="C20" s="15">
        <v>40</v>
      </c>
      <c r="D20" s="20">
        <f>SUMIFS(Movimientos!$F:$F,Movimientos!$B:$B,"Gasto",Movimientos!$C:$C,$B20,Movimientos!$A:$A,"&gt;="&amp;Ajustes!$L$3,Movimientos!$A:$A,"&lt;="&amp;Ajustes!$L$4)</f>
        <v>0</v>
      </c>
      <c r="E20" s="20">
        <f t="shared" si="0"/>
        <v>40</v>
      </c>
      <c r="F20" s="21">
        <f t="shared" si="1"/>
        <v>0</v>
      </c>
      <c r="N20" s="18" t="str">
        <f>INDEX(Ajustes!$I$2:$I$11,MATCH($B20,Ajustes!$H$2:$H$11,0))</f>
        <v>Deseos</v>
      </c>
    </row>
    <row r="21" spans="2:14" x14ac:dyDescent="0.25">
      <c r="B21" s="22" t="s">
        <v>24</v>
      </c>
      <c r="C21" s="23">
        <f>SUM(C11:C20)</f>
        <v>2120</v>
      </c>
      <c r="D21" s="23">
        <f>SUM(D11:D20)</f>
        <v>2372</v>
      </c>
      <c r="E21" s="23">
        <f>SUM(E11:E20)</f>
        <v>-252</v>
      </c>
      <c r="F21" s="24">
        <f t="shared" si="1"/>
        <v>1.118867924528302</v>
      </c>
    </row>
    <row r="23" spans="2:14" ht="16.5" customHeight="1" x14ac:dyDescent="0.25">
      <c r="B23" s="3" t="s">
        <v>25</v>
      </c>
      <c r="C23" s="3"/>
      <c r="D23" s="3"/>
      <c r="E23" s="3"/>
      <c r="F23" s="3"/>
    </row>
    <row r="24" spans="2:14" ht="24" customHeight="1" x14ac:dyDescent="0.25">
      <c r="B24" s="13" t="s">
        <v>9</v>
      </c>
      <c r="C24" s="13" t="s">
        <v>26</v>
      </c>
      <c r="D24" s="13" t="s">
        <v>11</v>
      </c>
      <c r="E24" s="13" t="s">
        <v>27</v>
      </c>
      <c r="F24" s="13" t="s">
        <v>28</v>
      </c>
    </row>
    <row r="25" spans="2:14" x14ac:dyDescent="0.25">
      <c r="B25" s="14" t="s">
        <v>29</v>
      </c>
      <c r="C25" s="25">
        <v>0.5</v>
      </c>
      <c r="D25" s="16">
        <f>SUMIF($N$11:$N$20,$B25,$D$11:$D$20)</f>
        <v>1385</v>
      </c>
      <c r="E25" s="17">
        <f>IFERROR(D25/$C$21,0)</f>
        <v>0.65330188679245282</v>
      </c>
      <c r="F25" s="26" t="str">
        <f>IF(E25&lt;=C25+0.03,"En objetivo","Por encima")</f>
        <v>Por encima</v>
      </c>
    </row>
    <row r="26" spans="2:14" x14ac:dyDescent="0.25">
      <c r="B26" s="19" t="s">
        <v>30</v>
      </c>
      <c r="C26" s="27">
        <v>0.3</v>
      </c>
      <c r="D26" s="20">
        <f>SUMIF($N$11:$N$20,$B26,$D$11:$D$20)</f>
        <v>587</v>
      </c>
      <c r="E26" s="21">
        <f>IFERROR(D26/$C$21,0)</f>
        <v>0.27688679245283021</v>
      </c>
      <c r="F26" s="28" t="str">
        <f>IF(E26&lt;=C26+0.03,"En objetivo","Por encima")</f>
        <v>En objetivo</v>
      </c>
    </row>
    <row r="27" spans="2:14" x14ac:dyDescent="0.25">
      <c r="B27" s="14" t="s">
        <v>31</v>
      </c>
      <c r="C27" s="25">
        <v>0.2</v>
      </c>
      <c r="D27" s="16">
        <f>SUMIF($N$11:$N$20,$B27,$D$11:$D$20)</f>
        <v>400</v>
      </c>
      <c r="E27" s="17">
        <f>IFERROR(D27/$C$21,0)</f>
        <v>0.18867924528301888</v>
      </c>
      <c r="F27" s="26" t="str">
        <f>IF(E27&lt;=C27+0.03,"En objetivo","Por encima")</f>
        <v>En objetivo</v>
      </c>
    </row>
    <row r="29" spans="2:14" ht="16.5" customHeight="1" x14ac:dyDescent="0.25">
      <c r="B29" s="4" t="s">
        <v>32</v>
      </c>
      <c r="C29" s="4"/>
      <c r="D29" s="4"/>
      <c r="E29" s="4"/>
      <c r="F29" s="4"/>
    </row>
    <row r="30" spans="2:14" ht="24" customHeight="1" x14ac:dyDescent="0.25">
      <c r="B30" s="13" t="s">
        <v>33</v>
      </c>
      <c r="C30" s="13" t="s">
        <v>26</v>
      </c>
      <c r="D30" s="13" t="s">
        <v>34</v>
      </c>
      <c r="E30" s="13" t="s">
        <v>35</v>
      </c>
      <c r="F30" s="13" t="s">
        <v>36</v>
      </c>
    </row>
    <row r="31" spans="2:14" x14ac:dyDescent="0.25">
      <c r="B31" s="14" t="s">
        <v>37</v>
      </c>
      <c r="C31" s="15">
        <v>7000</v>
      </c>
      <c r="D31" s="15">
        <v>4100</v>
      </c>
      <c r="E31" s="17">
        <f>IFERROR(D31/C31,0)</f>
        <v>0.58571428571428574</v>
      </c>
      <c r="F31" s="29">
        <v>46387</v>
      </c>
    </row>
    <row r="32" spans="2:14" x14ac:dyDescent="0.25">
      <c r="B32" s="19" t="s">
        <v>38</v>
      </c>
      <c r="C32" s="15">
        <v>2200</v>
      </c>
      <c r="D32" s="15">
        <v>1250</v>
      </c>
      <c r="E32" s="21">
        <f>IFERROR(D32/C32,0)</f>
        <v>0.56818181818181823</v>
      </c>
      <c r="F32" s="29">
        <v>46203</v>
      </c>
    </row>
    <row r="33" spans="2:6" x14ac:dyDescent="0.25">
      <c r="B33" s="14" t="s">
        <v>39</v>
      </c>
      <c r="C33" s="15">
        <v>1500</v>
      </c>
      <c r="D33" s="15">
        <v>600</v>
      </c>
      <c r="E33" s="17">
        <f>IFERROR(D33/C33,0)</f>
        <v>0.4</v>
      </c>
      <c r="F33" s="29">
        <v>46112</v>
      </c>
    </row>
    <row r="35" spans="2:6" x14ac:dyDescent="0.25">
      <c r="B35" s="30"/>
      <c r="C35" s="2" t="s">
        <v>40</v>
      </c>
      <c r="D35" s="2"/>
    </row>
    <row r="36" spans="2:6" x14ac:dyDescent="0.25">
      <c r="B36" s="31"/>
      <c r="C36" s="2" t="s">
        <v>41</v>
      </c>
      <c r="D36" s="2"/>
    </row>
  </sheetData>
  <mergeCells count="8">
    <mergeCell ref="B29:F29"/>
    <mergeCell ref="C35:D35"/>
    <mergeCell ref="C36:D36"/>
    <mergeCell ref="B1:P1"/>
    <mergeCell ref="B2:G2"/>
    <mergeCell ref="C4:D4"/>
    <mergeCell ref="B9:F9"/>
    <mergeCell ref="B23:F23"/>
  </mergeCells>
  <conditionalFormatting sqref="E7">
    <cfRule type="cellIs" dxfId="4" priority="2" operator="greaterThanOrEqual">
      <formula>0</formula>
    </cfRule>
    <cfRule type="cellIs" dxfId="3" priority="3" operator="lessThan">
      <formula>0</formula>
    </cfRule>
  </conditionalFormatting>
  <conditionalFormatting sqref="E31:E33">
    <cfRule type="dataBar" priority="8">
      <dataBar>
        <cfvo type="num" val="0"/>
        <cfvo type="num" val="1"/>
        <color rgb="FFC1703F"/>
      </dataBar>
      <extLst>
        <ext xmlns:x14="http://schemas.microsoft.com/office/spreadsheetml/2009/9/main" uri="{B025F937-C7B1-47D3-B67F-A62EFF666E3E}">
          <x14:id>{8959D55D-BBEA-4694-9FD0-B625D03EDA25}</x14:id>
        </ext>
      </extLst>
    </cfRule>
  </conditionalFormatting>
  <conditionalFormatting sqref="F11:F20">
    <cfRule type="dataBar" priority="4">
      <dataBar>
        <cfvo type="num" val="0"/>
        <cfvo type="num" val="1.2"/>
        <color rgb="FF44715C"/>
      </dataBar>
      <extLst>
        <ext xmlns:x14="http://schemas.microsoft.com/office/spreadsheetml/2009/9/main" uri="{B025F937-C7B1-47D3-B67F-A62EFF666E3E}">
          <x14:id>{395A5574-4676-4C5F-ADA0-5CEEDE1B465A}</x14:id>
        </ext>
      </extLst>
    </cfRule>
    <cfRule type="cellIs" dxfId="2" priority="5" operator="greaterThan">
      <formula>1</formula>
    </cfRule>
  </conditionalFormatting>
  <conditionalFormatting sqref="F25:F27">
    <cfRule type="expression" dxfId="1" priority="6">
      <formula>F25="Por encima"</formula>
    </cfRule>
    <cfRule type="expression" dxfId="0" priority="7">
      <formula>F25="En objetivo"</formula>
    </cfRule>
  </conditionalFormatting>
  <pageMargins left="0.4" right="0.4" top="0.5" bottom="0.5" header="0.511811023622047" footer="0.511811023622047"/>
  <pageSetup fitToHeight="0" orientation="landscape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59D55D-BBEA-4694-9FD0-B625D03EDA25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C1703F"/>
            </x14:dataBar>
          </x14:cfRule>
          <xm:sqref>E31:E33</xm:sqref>
        </x14:conditionalFormatting>
        <x14:conditionalFormatting xmlns:xm="http://schemas.microsoft.com/office/excel/2006/main">
          <x14:cfRule type="dataBar" id="{395A5574-4676-4C5F-ADA0-5CEEDE1B465A}">
            <x14:dataBar axisPosition="none">
              <x14:cfvo type="num">
                <xm:f>0</xm:f>
              </x14:cfvo>
              <x14:cfvo type="num">
                <xm:f>1.2</xm:f>
              </x14:cfvo>
              <x14:negativeFillColor rgb="FF44715C"/>
            </x14:dataBar>
          </x14:cfRule>
          <xm:sqref>F11:F20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000-000000000000}">
          <x14:formula1>
            <xm:f>Ajustes!$A$2:$A$13</xm:f>
          </x14:formula1>
          <x14:formula2>
            <xm:f>0</xm:f>
          </x14:formula2>
          <xm:sqref>C4:D4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zoomScaleNormal="100" workbookViewId="0"/>
  </sheetViews>
  <sheetFormatPr baseColWidth="10" defaultColWidth="8.7109375" defaultRowHeight="15" x14ac:dyDescent="0.25"/>
  <cols>
    <col min="1" max="1" width="12" customWidth="1"/>
    <col min="2" max="2" width="9" customWidth="1"/>
    <col min="3" max="3" width="14" customWidth="1"/>
    <col min="4" max="5" width="16" customWidth="1"/>
    <col min="6" max="6" width="14" customWidth="1"/>
    <col min="7" max="7" width="3" customWidth="1"/>
    <col min="8" max="8" width="18" customWidth="1"/>
    <col min="9" max="9" width="14" customWidth="1"/>
    <col min="10" max="10" width="3" customWidth="1"/>
    <col min="11" max="11" width="12" customWidth="1"/>
    <col min="12" max="14" width="10" customWidth="1"/>
  </cols>
  <sheetData>
    <row r="1" spans="1:14" x14ac:dyDescent="0.25">
      <c r="A1" s="32" t="s">
        <v>42</v>
      </c>
      <c r="B1" s="32" t="s">
        <v>43</v>
      </c>
      <c r="C1" s="32" t="s">
        <v>44</v>
      </c>
      <c r="D1" s="32" t="s">
        <v>45</v>
      </c>
      <c r="E1" s="32" t="s">
        <v>46</v>
      </c>
      <c r="F1" s="32" t="s">
        <v>47</v>
      </c>
      <c r="H1" s="32" t="s">
        <v>48</v>
      </c>
      <c r="I1" s="32" t="s">
        <v>49</v>
      </c>
      <c r="K1" s="33" t="s">
        <v>50</v>
      </c>
    </row>
    <row r="2" spans="1:14" x14ac:dyDescent="0.25">
      <c r="A2" s="34" t="s">
        <v>51</v>
      </c>
      <c r="B2" s="34" t="s">
        <v>52</v>
      </c>
      <c r="C2" s="34" t="s">
        <v>53</v>
      </c>
      <c r="D2" s="34" t="s">
        <v>14</v>
      </c>
      <c r="E2" s="34" t="s">
        <v>53</v>
      </c>
      <c r="F2" s="34" t="s">
        <v>54</v>
      </c>
      <c r="H2" s="34" t="s">
        <v>14</v>
      </c>
      <c r="I2" s="34" t="s">
        <v>29</v>
      </c>
      <c r="K2" s="18" t="s">
        <v>55</v>
      </c>
      <c r="L2" s="18">
        <f>MATCH(Panel!$C$4,$A$2:$A$13,0)</f>
        <v>8</v>
      </c>
    </row>
    <row r="3" spans="1:14" x14ac:dyDescent="0.25">
      <c r="A3" s="34" t="s">
        <v>56</v>
      </c>
      <c r="B3" s="34" t="s">
        <v>57</v>
      </c>
      <c r="C3" s="34" t="s">
        <v>58</v>
      </c>
      <c r="D3" s="34" t="s">
        <v>15</v>
      </c>
      <c r="E3" s="34" t="s">
        <v>58</v>
      </c>
      <c r="F3" s="34" t="s">
        <v>59</v>
      </c>
      <c r="H3" s="34" t="s">
        <v>15</v>
      </c>
      <c r="I3" s="34" t="s">
        <v>29</v>
      </c>
      <c r="K3" s="18" t="s">
        <v>60</v>
      </c>
      <c r="L3" s="35">
        <f>DATE(Panel!$F$4,$L$2,1)</f>
        <v>45870</v>
      </c>
    </row>
    <row r="4" spans="1:14" x14ac:dyDescent="0.25">
      <c r="A4" s="34" t="s">
        <v>61</v>
      </c>
      <c r="D4" s="34" t="s">
        <v>16</v>
      </c>
      <c r="E4" s="34" t="s">
        <v>14</v>
      </c>
      <c r="F4" s="34" t="s">
        <v>62</v>
      </c>
      <c r="H4" s="34" t="s">
        <v>16</v>
      </c>
      <c r="I4" s="34" t="s">
        <v>29</v>
      </c>
      <c r="K4" s="18" t="s">
        <v>63</v>
      </c>
      <c r="L4" s="35">
        <f>EOMONTH($L$3,0)</f>
        <v>45900</v>
      </c>
    </row>
    <row r="5" spans="1:14" x14ac:dyDescent="0.25">
      <c r="A5" s="34" t="s">
        <v>64</v>
      </c>
      <c r="D5" s="34" t="s">
        <v>17</v>
      </c>
      <c r="E5" s="34" t="s">
        <v>15</v>
      </c>
      <c r="F5" s="34" t="s">
        <v>65</v>
      </c>
      <c r="H5" s="34" t="s">
        <v>17</v>
      </c>
      <c r="I5" s="34" t="s">
        <v>29</v>
      </c>
    </row>
    <row r="6" spans="1:14" x14ac:dyDescent="0.25">
      <c r="A6" s="34" t="s">
        <v>66</v>
      </c>
      <c r="D6" s="34" t="s">
        <v>18</v>
      </c>
      <c r="E6" s="34" t="s">
        <v>16</v>
      </c>
      <c r="F6" s="34" t="s">
        <v>67</v>
      </c>
      <c r="H6" s="34" t="s">
        <v>18</v>
      </c>
      <c r="I6" s="34" t="s">
        <v>29</v>
      </c>
    </row>
    <row r="7" spans="1:14" x14ac:dyDescent="0.25">
      <c r="A7" s="34" t="s">
        <v>68</v>
      </c>
      <c r="D7" s="34" t="s">
        <v>19</v>
      </c>
      <c r="E7" s="34" t="s">
        <v>17</v>
      </c>
      <c r="H7" s="34" t="s">
        <v>19</v>
      </c>
      <c r="I7" s="34" t="s">
        <v>30</v>
      </c>
      <c r="K7" s="33" t="s">
        <v>69</v>
      </c>
    </row>
    <row r="8" spans="1:14" x14ac:dyDescent="0.25">
      <c r="A8" s="34" t="s">
        <v>70</v>
      </c>
      <c r="D8" s="34" t="s">
        <v>20</v>
      </c>
      <c r="E8" s="34" t="s">
        <v>18</v>
      </c>
      <c r="H8" s="34" t="s">
        <v>20</v>
      </c>
      <c r="I8" s="34" t="s">
        <v>30</v>
      </c>
      <c r="K8" s="32" t="s">
        <v>71</v>
      </c>
      <c r="L8" s="32" t="s">
        <v>72</v>
      </c>
      <c r="M8" s="32" t="s">
        <v>73</v>
      </c>
      <c r="N8" s="32" t="s">
        <v>31</v>
      </c>
    </row>
    <row r="9" spans="1:14" x14ac:dyDescent="0.25">
      <c r="A9" s="34" t="s">
        <v>2</v>
      </c>
      <c r="D9" s="34" t="s">
        <v>21</v>
      </c>
      <c r="E9" s="34" t="s">
        <v>19</v>
      </c>
      <c r="H9" s="34" t="s">
        <v>21</v>
      </c>
      <c r="I9" s="34" t="s">
        <v>30</v>
      </c>
      <c r="K9" s="36" t="str">
        <f>INDEX($A$2:$A$13,1)</f>
        <v>Enero</v>
      </c>
      <c r="L9" s="37">
        <f>SUMIFS(Movimientos!$F:$F,Movimientos!$B:$B,"Ingreso",Movimientos!$A:$A,"&gt;="&amp;DATE(Panel!$F$4,1,1),Movimientos!$A:$A,"&lt;="&amp;EOMONTH(DATE(Panel!$F$4,1,1),0))</f>
        <v>2300</v>
      </c>
      <c r="M9" s="37">
        <f>SUMIFS(Movimientos!$F:$F,Movimientos!$B:$B,"Gasto",Movimientos!$A:$A,"&gt;="&amp;DATE(Panel!$F$4,1,1),Movimientos!$A:$A,"&lt;="&amp;EOMONTH(DATE(Panel!$F$4,1,1),0))</f>
        <v>1905</v>
      </c>
      <c r="N9" s="37">
        <f t="shared" ref="N9:N20" si="0">L9-M9</f>
        <v>395</v>
      </c>
    </row>
    <row r="10" spans="1:14" x14ac:dyDescent="0.25">
      <c r="A10" s="34" t="s">
        <v>74</v>
      </c>
      <c r="D10" s="34" t="s">
        <v>22</v>
      </c>
      <c r="E10" s="34" t="s">
        <v>20</v>
      </c>
      <c r="H10" s="34" t="s">
        <v>22</v>
      </c>
      <c r="I10" s="34" t="s">
        <v>31</v>
      </c>
      <c r="K10" s="36" t="str">
        <f>INDEX($A$2:$A$13,2)</f>
        <v>Febrero</v>
      </c>
      <c r="L10" s="37">
        <f>SUMIFS(Movimientos!$F:$F,Movimientos!$B:$B,"Ingreso",Movimientos!$A:$A,"&gt;="&amp;DATE(Panel!$F$4,2,1),Movimientos!$A:$A,"&lt;="&amp;EOMONTH(DATE(Panel!$F$4,2,1),0))</f>
        <v>2300</v>
      </c>
      <c r="M10" s="37">
        <f>SUMIFS(Movimientos!$F:$F,Movimientos!$B:$B,"Gasto",Movimientos!$A:$A,"&gt;="&amp;DATE(Panel!$F$4,2,1),Movimientos!$A:$A,"&lt;="&amp;EOMONTH(DATE(Panel!$F$4,2,1),0))</f>
        <v>1851</v>
      </c>
      <c r="N10" s="37">
        <f t="shared" si="0"/>
        <v>449</v>
      </c>
    </row>
    <row r="11" spans="1:14" x14ac:dyDescent="0.25">
      <c r="A11" s="34" t="s">
        <v>75</v>
      </c>
      <c r="D11" s="34" t="s">
        <v>23</v>
      </c>
      <c r="E11" s="34" t="s">
        <v>21</v>
      </c>
      <c r="H11" s="34" t="s">
        <v>23</v>
      </c>
      <c r="I11" s="34" t="s">
        <v>30</v>
      </c>
      <c r="K11" s="36" t="str">
        <f>INDEX($A$2:$A$13,3)</f>
        <v>Marzo</v>
      </c>
      <c r="L11" s="37">
        <f>SUMIFS(Movimientos!$F:$F,Movimientos!$B:$B,"Ingreso",Movimientos!$A:$A,"&gt;="&amp;DATE(Panel!$F$4,3,1),Movimientos!$A:$A,"&lt;="&amp;EOMONTH(DATE(Panel!$F$4,3,1),0))</f>
        <v>2300</v>
      </c>
      <c r="M11" s="37">
        <f>SUMIFS(Movimientos!$F:$F,Movimientos!$B:$B,"Gasto",Movimientos!$A:$A,"&gt;="&amp;DATE(Panel!$F$4,3,1),Movimientos!$A:$A,"&lt;="&amp;EOMONTH(DATE(Panel!$F$4,3,1),0))</f>
        <v>1797</v>
      </c>
      <c r="N11" s="37">
        <f t="shared" si="0"/>
        <v>503</v>
      </c>
    </row>
    <row r="12" spans="1:14" x14ac:dyDescent="0.25">
      <c r="A12" s="34" t="s">
        <v>76</v>
      </c>
      <c r="E12" s="34" t="s">
        <v>22</v>
      </c>
      <c r="K12" s="36" t="str">
        <f>INDEX($A$2:$A$13,4)</f>
        <v>Abril</v>
      </c>
      <c r="L12" s="37">
        <f>SUMIFS(Movimientos!$F:$F,Movimientos!$B:$B,"Ingreso",Movimientos!$A:$A,"&gt;="&amp;DATE(Panel!$F$4,4,1),Movimientos!$A:$A,"&lt;="&amp;EOMONTH(DATE(Panel!$F$4,4,1),0))</f>
        <v>2385</v>
      </c>
      <c r="M12" s="37">
        <f>SUMIFS(Movimientos!$F:$F,Movimientos!$B:$B,"Gasto",Movimientos!$A:$A,"&gt;="&amp;DATE(Panel!$F$4,4,1),Movimientos!$A:$A,"&lt;="&amp;EOMONTH(DATE(Panel!$F$4,4,1),0))</f>
        <v>1910</v>
      </c>
      <c r="N12" s="37">
        <f t="shared" si="0"/>
        <v>475</v>
      </c>
    </row>
    <row r="13" spans="1:14" x14ac:dyDescent="0.25">
      <c r="A13" s="34" t="s">
        <v>77</v>
      </c>
      <c r="E13" s="34" t="s">
        <v>23</v>
      </c>
      <c r="K13" s="36" t="str">
        <f>INDEX($A$2:$A$13,5)</f>
        <v>Mayo</v>
      </c>
      <c r="L13" s="37">
        <f>SUMIFS(Movimientos!$F:$F,Movimientos!$B:$B,"Ingreso",Movimientos!$A:$A,"&gt;="&amp;DATE(Panel!$F$4,5,1),Movimientos!$A:$A,"&lt;="&amp;EOMONTH(DATE(Panel!$F$4,5,1),0))</f>
        <v>2300</v>
      </c>
      <c r="M13" s="37">
        <f>SUMIFS(Movimientos!$F:$F,Movimientos!$B:$B,"Gasto",Movimientos!$A:$A,"&gt;="&amp;DATE(Panel!$F$4,5,1),Movimientos!$A:$A,"&lt;="&amp;EOMONTH(DATE(Panel!$F$4,5,1),0))</f>
        <v>1845</v>
      </c>
      <c r="N13" s="37">
        <f t="shared" si="0"/>
        <v>455</v>
      </c>
    </row>
    <row r="14" spans="1:14" x14ac:dyDescent="0.25">
      <c r="K14" s="36" t="str">
        <f>INDEX($A$2:$A$13,6)</f>
        <v>Junio</v>
      </c>
      <c r="L14" s="37">
        <f>SUMIFS(Movimientos!$F:$F,Movimientos!$B:$B,"Ingreso",Movimientos!$A:$A,"&gt;="&amp;DATE(Panel!$F$4,6,1),Movimientos!$A:$A,"&lt;="&amp;EOMONTH(DATE(Panel!$F$4,6,1),0))</f>
        <v>2300</v>
      </c>
      <c r="M14" s="37">
        <f>SUMIFS(Movimientos!$F:$F,Movimientos!$B:$B,"Gasto",Movimientos!$A:$A,"&gt;="&amp;DATE(Panel!$F$4,6,1),Movimientos!$A:$A,"&lt;="&amp;EOMONTH(DATE(Panel!$F$4,6,1),0))</f>
        <v>1894</v>
      </c>
      <c r="N14" s="37">
        <f t="shared" si="0"/>
        <v>406</v>
      </c>
    </row>
    <row r="15" spans="1:14" x14ac:dyDescent="0.25">
      <c r="K15" s="36" t="str">
        <f>INDEX($A$2:$A$13,7)</f>
        <v>Julio</v>
      </c>
      <c r="L15" s="37">
        <f>SUMIFS(Movimientos!$F:$F,Movimientos!$B:$B,"Ingreso",Movimientos!$A:$A,"&gt;="&amp;DATE(Panel!$F$4,7,1),Movimientos!$A:$A,"&lt;="&amp;EOMONTH(DATE(Panel!$F$4,7,1),0))</f>
        <v>3450</v>
      </c>
      <c r="M15" s="37">
        <f>SUMIFS(Movimientos!$F:$F,Movimientos!$B:$B,"Gasto",Movimientos!$A:$A,"&gt;="&amp;DATE(Panel!$F$4,7,1),Movimientos!$A:$A,"&lt;="&amp;EOMONTH(DATE(Panel!$F$4,7,1),0))</f>
        <v>1876</v>
      </c>
      <c r="N15" s="37">
        <f t="shared" si="0"/>
        <v>1574</v>
      </c>
    </row>
    <row r="16" spans="1:14" x14ac:dyDescent="0.25">
      <c r="K16" s="36" t="str">
        <f>INDEX($A$2:$A$13,8)</f>
        <v>Agosto</v>
      </c>
      <c r="L16" s="37">
        <f>SUMIFS(Movimientos!$F:$F,Movimientos!$B:$B,"Ingreso",Movimientos!$A:$A,"&gt;="&amp;DATE(Panel!$F$4,8,1),Movimientos!$A:$A,"&lt;="&amp;EOMONTH(DATE(Panel!$F$4,8,1),0))</f>
        <v>2300</v>
      </c>
      <c r="M16" s="37">
        <f>SUMIFS(Movimientos!$F:$F,Movimientos!$B:$B,"Gasto",Movimientos!$A:$A,"&gt;="&amp;DATE(Panel!$F$4,8,1),Movimientos!$A:$A,"&lt;="&amp;EOMONTH(DATE(Panel!$F$4,8,1),0))</f>
        <v>2372</v>
      </c>
      <c r="N16" s="37">
        <f t="shared" si="0"/>
        <v>-72</v>
      </c>
    </row>
    <row r="17" spans="11:14" x14ac:dyDescent="0.25">
      <c r="K17" s="36" t="str">
        <f>INDEX($A$2:$A$13,9)</f>
        <v>Septiembre</v>
      </c>
      <c r="L17" s="37">
        <f>SUMIFS(Movimientos!$F:$F,Movimientos!$B:$B,"Ingreso",Movimientos!$A:$A,"&gt;="&amp;DATE(Panel!$F$4,9,1),Movimientos!$A:$A,"&lt;="&amp;EOMONTH(DATE(Panel!$F$4,9,1),0))</f>
        <v>2300</v>
      </c>
      <c r="M17" s="37">
        <f>SUMIFS(Movimientos!$F:$F,Movimientos!$B:$B,"Gasto",Movimientos!$A:$A,"&gt;="&amp;DATE(Panel!$F$4,9,1),Movimientos!$A:$A,"&lt;="&amp;EOMONTH(DATE(Panel!$F$4,9,1),0))</f>
        <v>1964</v>
      </c>
      <c r="N17" s="37">
        <f t="shared" si="0"/>
        <v>336</v>
      </c>
    </row>
    <row r="18" spans="11:14" x14ac:dyDescent="0.25">
      <c r="K18" s="36" t="str">
        <f>INDEX($A$2:$A$13,10)</f>
        <v>Octubre</v>
      </c>
      <c r="L18" s="37">
        <f>SUMIFS(Movimientos!$F:$F,Movimientos!$B:$B,"Ingreso",Movimientos!$A:$A,"&gt;="&amp;DATE(Panel!$F$4,10,1),Movimientos!$A:$A,"&lt;="&amp;EOMONTH(DATE(Panel!$F$4,10,1),0))</f>
        <v>2450</v>
      </c>
      <c r="M18" s="37">
        <f>SUMIFS(Movimientos!$F:$F,Movimientos!$B:$B,"Gasto",Movimientos!$A:$A,"&gt;="&amp;DATE(Panel!$F$4,10,1),Movimientos!$A:$A,"&lt;="&amp;EOMONTH(DATE(Panel!$F$4,10,1),0))</f>
        <v>1900</v>
      </c>
      <c r="N18" s="37">
        <f t="shared" si="0"/>
        <v>550</v>
      </c>
    </row>
    <row r="19" spans="11:14" x14ac:dyDescent="0.25">
      <c r="K19" s="36" t="str">
        <f>INDEX($A$2:$A$13,11)</f>
        <v>Noviembre</v>
      </c>
      <c r="L19" s="37">
        <f>SUMIFS(Movimientos!$F:$F,Movimientos!$B:$B,"Ingreso",Movimientos!$A:$A,"&gt;="&amp;DATE(Panel!$F$4,11,1),Movimientos!$A:$A,"&lt;="&amp;EOMONTH(DATE(Panel!$F$4,11,1),0))</f>
        <v>2300</v>
      </c>
      <c r="M19" s="37">
        <f>SUMIFS(Movimientos!$F:$F,Movimientos!$B:$B,"Gasto",Movimientos!$A:$A,"&gt;="&amp;DATE(Panel!$F$4,11,1),Movimientos!$A:$A,"&lt;="&amp;EOMONTH(DATE(Panel!$F$4,11,1),0))</f>
        <v>1888</v>
      </c>
      <c r="N19" s="37">
        <f t="shared" si="0"/>
        <v>412</v>
      </c>
    </row>
    <row r="20" spans="11:14" x14ac:dyDescent="0.25">
      <c r="K20" s="36" t="str">
        <f>INDEX($A$2:$A$13,12)</f>
        <v>Diciembre</v>
      </c>
      <c r="L20" s="37">
        <f>SUMIFS(Movimientos!$F:$F,Movimientos!$B:$B,"Ingreso",Movimientos!$A:$A,"&gt;="&amp;DATE(Panel!$F$4,12,1),Movimientos!$A:$A,"&lt;="&amp;EOMONTH(DATE(Panel!$F$4,12,1),0))</f>
        <v>3450</v>
      </c>
      <c r="M20" s="37">
        <f>SUMIFS(Movimientos!$F:$F,Movimientos!$B:$B,"Gasto",Movimientos!$A:$A,"&gt;="&amp;DATE(Panel!$F$4,12,1),Movimientos!$A:$A,"&lt;="&amp;EOMONTH(DATE(Panel!$F$4,12,1),0))</f>
        <v>2284</v>
      </c>
      <c r="N20" s="37">
        <f t="shared" si="0"/>
        <v>1166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4715C"/>
    <pageSetUpPr fitToPage="1"/>
  </sheetPr>
  <dimension ref="A1:G217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12" customWidth="1"/>
    <col min="2" max="2" width="11" customWidth="1"/>
    <col min="3" max="3" width="20" customWidth="1"/>
    <col min="4" max="4" width="34" customWidth="1"/>
    <col min="5" max="5" width="16" customWidth="1"/>
    <col min="6" max="6" width="13" customWidth="1"/>
    <col min="7" max="7" width="20" customWidth="1"/>
  </cols>
  <sheetData>
    <row r="1" spans="1:7" ht="27.75" customHeight="1" x14ac:dyDescent="0.25">
      <c r="A1" s="1" t="s">
        <v>78</v>
      </c>
      <c r="B1" s="1"/>
      <c r="C1" s="1"/>
      <c r="D1" s="1"/>
      <c r="E1" s="1"/>
      <c r="F1" s="1"/>
      <c r="G1" s="1"/>
    </row>
    <row r="2" spans="1:7" ht="13.5" customHeight="1" x14ac:dyDescent="0.25">
      <c r="A2" s="6" t="s">
        <v>79</v>
      </c>
      <c r="B2" s="6"/>
      <c r="C2" s="6"/>
      <c r="D2" s="6"/>
      <c r="E2" s="6"/>
      <c r="F2" s="6"/>
      <c r="G2" s="6"/>
    </row>
    <row r="4" spans="1:7" ht="24" customHeight="1" x14ac:dyDescent="0.25">
      <c r="A4" s="13" t="s">
        <v>80</v>
      </c>
      <c r="B4" s="13" t="s">
        <v>81</v>
      </c>
      <c r="C4" s="13" t="s">
        <v>9</v>
      </c>
      <c r="D4" s="13" t="s">
        <v>82</v>
      </c>
      <c r="E4" s="13" t="s">
        <v>83</v>
      </c>
      <c r="F4" s="13" t="s">
        <v>84</v>
      </c>
      <c r="G4" s="13" t="s">
        <v>85</v>
      </c>
    </row>
    <row r="5" spans="1:7" x14ac:dyDescent="0.25">
      <c r="A5" s="38">
        <v>45658</v>
      </c>
      <c r="B5" s="28" t="s">
        <v>52</v>
      </c>
      <c r="C5" s="28" t="s">
        <v>53</v>
      </c>
      <c r="D5" s="19" t="s">
        <v>86</v>
      </c>
      <c r="E5" s="28" t="s">
        <v>62</v>
      </c>
      <c r="F5" s="39">
        <v>2300</v>
      </c>
      <c r="G5" s="19"/>
    </row>
    <row r="6" spans="1:7" x14ac:dyDescent="0.25">
      <c r="A6" s="40">
        <v>45660</v>
      </c>
      <c r="B6" s="26" t="s">
        <v>57</v>
      </c>
      <c r="C6" s="26" t="s">
        <v>14</v>
      </c>
      <c r="D6" s="14" t="s">
        <v>87</v>
      </c>
      <c r="E6" s="26" t="s">
        <v>62</v>
      </c>
      <c r="F6" s="41">
        <v>720</v>
      </c>
      <c r="G6" s="14"/>
    </row>
    <row r="7" spans="1:7" x14ac:dyDescent="0.25">
      <c r="A7" s="38">
        <v>45662</v>
      </c>
      <c r="B7" s="28" t="s">
        <v>57</v>
      </c>
      <c r="C7" s="28" t="s">
        <v>15</v>
      </c>
      <c r="D7" s="19" t="s">
        <v>88</v>
      </c>
      <c r="E7" s="28" t="s">
        <v>54</v>
      </c>
      <c r="F7" s="39">
        <v>108</v>
      </c>
      <c r="G7" s="19"/>
    </row>
    <row r="8" spans="1:7" x14ac:dyDescent="0.25">
      <c r="A8" s="40">
        <v>45663</v>
      </c>
      <c r="B8" s="26" t="s">
        <v>57</v>
      </c>
      <c r="C8" s="26" t="s">
        <v>16</v>
      </c>
      <c r="D8" s="14" t="s">
        <v>89</v>
      </c>
      <c r="E8" s="26" t="s">
        <v>59</v>
      </c>
      <c r="F8" s="41">
        <v>78</v>
      </c>
      <c r="G8" s="14"/>
    </row>
    <row r="9" spans="1:7" x14ac:dyDescent="0.25">
      <c r="A9" s="38">
        <v>45665</v>
      </c>
      <c r="B9" s="28" t="s">
        <v>57</v>
      </c>
      <c r="C9" s="28" t="s">
        <v>15</v>
      </c>
      <c r="D9" s="19" t="s">
        <v>90</v>
      </c>
      <c r="E9" s="28" t="s">
        <v>54</v>
      </c>
      <c r="F9" s="39">
        <v>45</v>
      </c>
      <c r="G9" s="19"/>
    </row>
    <row r="10" spans="1:7" x14ac:dyDescent="0.25">
      <c r="A10" s="40">
        <v>45666</v>
      </c>
      <c r="B10" s="26" t="s">
        <v>57</v>
      </c>
      <c r="C10" s="26" t="s">
        <v>20</v>
      </c>
      <c r="D10" s="14" t="s">
        <v>91</v>
      </c>
      <c r="E10" s="26" t="s">
        <v>59</v>
      </c>
      <c r="F10" s="41">
        <v>90</v>
      </c>
      <c r="G10" s="14"/>
    </row>
    <row r="11" spans="1:7" x14ac:dyDescent="0.25">
      <c r="A11" s="38">
        <v>45667</v>
      </c>
      <c r="B11" s="28" t="s">
        <v>57</v>
      </c>
      <c r="C11" s="28" t="s">
        <v>17</v>
      </c>
      <c r="D11" s="19" t="s">
        <v>92</v>
      </c>
      <c r="E11" s="28" t="s">
        <v>59</v>
      </c>
      <c r="F11" s="39">
        <v>55</v>
      </c>
      <c r="G11" s="19"/>
    </row>
    <row r="12" spans="1:7" x14ac:dyDescent="0.25">
      <c r="A12" s="40">
        <v>45669</v>
      </c>
      <c r="B12" s="26" t="s">
        <v>57</v>
      </c>
      <c r="C12" s="26" t="s">
        <v>19</v>
      </c>
      <c r="D12" s="14" t="s">
        <v>93</v>
      </c>
      <c r="E12" s="26" t="s">
        <v>59</v>
      </c>
      <c r="F12" s="41">
        <v>30</v>
      </c>
      <c r="G12" s="14"/>
    </row>
    <row r="13" spans="1:7" x14ac:dyDescent="0.25">
      <c r="A13" s="38">
        <v>45670</v>
      </c>
      <c r="B13" s="28" t="s">
        <v>57</v>
      </c>
      <c r="C13" s="28" t="s">
        <v>16</v>
      </c>
      <c r="D13" s="19" t="s">
        <v>94</v>
      </c>
      <c r="E13" s="28" t="s">
        <v>59</v>
      </c>
      <c r="F13" s="39">
        <v>67</v>
      </c>
      <c r="G13" s="19"/>
    </row>
    <row r="14" spans="1:7" x14ac:dyDescent="0.25">
      <c r="A14" s="40">
        <v>45672</v>
      </c>
      <c r="B14" s="26" t="s">
        <v>57</v>
      </c>
      <c r="C14" s="26" t="s">
        <v>18</v>
      </c>
      <c r="D14" s="14" t="s">
        <v>95</v>
      </c>
      <c r="E14" s="26" t="s">
        <v>54</v>
      </c>
      <c r="F14" s="41">
        <v>42</v>
      </c>
      <c r="G14" s="14"/>
    </row>
    <row r="15" spans="1:7" x14ac:dyDescent="0.25">
      <c r="A15" s="38">
        <v>45676</v>
      </c>
      <c r="B15" s="28" t="s">
        <v>57</v>
      </c>
      <c r="C15" s="28" t="s">
        <v>20</v>
      </c>
      <c r="D15" s="19" t="s">
        <v>96</v>
      </c>
      <c r="E15" s="28" t="s">
        <v>59</v>
      </c>
      <c r="F15" s="39">
        <v>41</v>
      </c>
      <c r="G15" s="19"/>
    </row>
    <row r="16" spans="1:7" x14ac:dyDescent="0.25">
      <c r="A16" s="40">
        <v>45677</v>
      </c>
      <c r="B16" s="26" t="s">
        <v>57</v>
      </c>
      <c r="C16" s="26" t="s">
        <v>16</v>
      </c>
      <c r="D16" s="14" t="s">
        <v>97</v>
      </c>
      <c r="E16" s="26" t="s">
        <v>59</v>
      </c>
      <c r="F16" s="41">
        <v>83</v>
      </c>
      <c r="G16" s="14"/>
    </row>
    <row r="17" spans="1:7" x14ac:dyDescent="0.25">
      <c r="A17" s="38">
        <v>45678</v>
      </c>
      <c r="B17" s="28" t="s">
        <v>57</v>
      </c>
      <c r="C17" s="28" t="s">
        <v>21</v>
      </c>
      <c r="D17" s="19" t="s">
        <v>98</v>
      </c>
      <c r="E17" s="28" t="s">
        <v>59</v>
      </c>
      <c r="F17" s="39">
        <v>20</v>
      </c>
      <c r="G17" s="19"/>
    </row>
    <row r="18" spans="1:7" x14ac:dyDescent="0.25">
      <c r="A18" s="40">
        <v>45678</v>
      </c>
      <c r="B18" s="26" t="s">
        <v>57</v>
      </c>
      <c r="C18" s="26" t="s">
        <v>21</v>
      </c>
      <c r="D18" s="14" t="s">
        <v>99</v>
      </c>
      <c r="E18" s="26" t="s">
        <v>54</v>
      </c>
      <c r="F18" s="41">
        <v>30</v>
      </c>
      <c r="G18" s="14"/>
    </row>
    <row r="19" spans="1:7" x14ac:dyDescent="0.25">
      <c r="A19" s="38">
        <v>45679</v>
      </c>
      <c r="B19" s="28" t="s">
        <v>57</v>
      </c>
      <c r="C19" s="28" t="s">
        <v>19</v>
      </c>
      <c r="D19" s="19" t="s">
        <v>100</v>
      </c>
      <c r="E19" s="28" t="s">
        <v>59</v>
      </c>
      <c r="F19" s="39">
        <v>35</v>
      </c>
      <c r="G19" s="19"/>
    </row>
    <row r="20" spans="1:7" x14ac:dyDescent="0.25">
      <c r="A20" s="40">
        <v>45682</v>
      </c>
      <c r="B20" s="26" t="s">
        <v>57</v>
      </c>
      <c r="C20" s="26" t="s">
        <v>22</v>
      </c>
      <c r="D20" s="14" t="s">
        <v>101</v>
      </c>
      <c r="E20" s="26" t="s">
        <v>62</v>
      </c>
      <c r="F20" s="41">
        <v>400</v>
      </c>
      <c r="G20" s="14"/>
    </row>
    <row r="21" spans="1:7" x14ac:dyDescent="0.25">
      <c r="A21" s="38">
        <v>45684</v>
      </c>
      <c r="B21" s="28" t="s">
        <v>57</v>
      </c>
      <c r="C21" s="28" t="s">
        <v>16</v>
      </c>
      <c r="D21" s="19" t="s">
        <v>102</v>
      </c>
      <c r="E21" s="28" t="s">
        <v>59</v>
      </c>
      <c r="F21" s="39">
        <v>61</v>
      </c>
      <c r="G21" s="19"/>
    </row>
    <row r="22" spans="1:7" x14ac:dyDescent="0.25">
      <c r="A22" s="40">
        <v>45689</v>
      </c>
      <c r="B22" s="26" t="s">
        <v>52</v>
      </c>
      <c r="C22" s="26" t="s">
        <v>53</v>
      </c>
      <c r="D22" s="14" t="s">
        <v>86</v>
      </c>
      <c r="E22" s="26" t="s">
        <v>62</v>
      </c>
      <c r="F22" s="41">
        <v>2300</v>
      </c>
      <c r="G22" s="14"/>
    </row>
    <row r="23" spans="1:7" x14ac:dyDescent="0.25">
      <c r="A23" s="38">
        <v>45691</v>
      </c>
      <c r="B23" s="28" t="s">
        <v>57</v>
      </c>
      <c r="C23" s="28" t="s">
        <v>14</v>
      </c>
      <c r="D23" s="19" t="s">
        <v>87</v>
      </c>
      <c r="E23" s="28" t="s">
        <v>62</v>
      </c>
      <c r="F23" s="39">
        <v>720</v>
      </c>
      <c r="G23" s="19"/>
    </row>
    <row r="24" spans="1:7" x14ac:dyDescent="0.25">
      <c r="A24" s="40">
        <v>45693</v>
      </c>
      <c r="B24" s="26" t="s">
        <v>57</v>
      </c>
      <c r="C24" s="26" t="s">
        <v>15</v>
      </c>
      <c r="D24" s="14" t="s">
        <v>88</v>
      </c>
      <c r="E24" s="26" t="s">
        <v>54</v>
      </c>
      <c r="F24" s="41">
        <v>99</v>
      </c>
      <c r="G24" s="14"/>
    </row>
    <row r="25" spans="1:7" x14ac:dyDescent="0.25">
      <c r="A25" s="38">
        <v>45694</v>
      </c>
      <c r="B25" s="28" t="s">
        <v>57</v>
      </c>
      <c r="C25" s="28" t="s">
        <v>16</v>
      </c>
      <c r="D25" s="19" t="s">
        <v>94</v>
      </c>
      <c r="E25" s="28" t="s">
        <v>59</v>
      </c>
      <c r="F25" s="39">
        <v>61</v>
      </c>
      <c r="G25" s="19"/>
    </row>
    <row r="26" spans="1:7" x14ac:dyDescent="0.25">
      <c r="A26" s="40">
        <v>45696</v>
      </c>
      <c r="B26" s="26" t="s">
        <v>57</v>
      </c>
      <c r="C26" s="26" t="s">
        <v>15</v>
      </c>
      <c r="D26" s="14" t="s">
        <v>90</v>
      </c>
      <c r="E26" s="26" t="s">
        <v>54</v>
      </c>
      <c r="F26" s="41">
        <v>45</v>
      </c>
      <c r="G26" s="14"/>
    </row>
    <row r="27" spans="1:7" x14ac:dyDescent="0.25">
      <c r="A27" s="38">
        <v>45698</v>
      </c>
      <c r="B27" s="28" t="s">
        <v>57</v>
      </c>
      <c r="C27" s="28" t="s">
        <v>17</v>
      </c>
      <c r="D27" s="19" t="s">
        <v>92</v>
      </c>
      <c r="E27" s="28" t="s">
        <v>59</v>
      </c>
      <c r="F27" s="39">
        <v>55</v>
      </c>
      <c r="G27" s="19"/>
    </row>
    <row r="28" spans="1:7" x14ac:dyDescent="0.25">
      <c r="A28" s="40">
        <v>45700</v>
      </c>
      <c r="B28" s="26" t="s">
        <v>57</v>
      </c>
      <c r="C28" s="26" t="s">
        <v>19</v>
      </c>
      <c r="D28" s="14" t="s">
        <v>93</v>
      </c>
      <c r="E28" s="26" t="s">
        <v>59</v>
      </c>
      <c r="F28" s="41">
        <v>41</v>
      </c>
      <c r="G28" s="14"/>
    </row>
    <row r="29" spans="1:7" x14ac:dyDescent="0.25">
      <c r="A29" s="38">
        <v>45701</v>
      </c>
      <c r="B29" s="28" t="s">
        <v>57</v>
      </c>
      <c r="C29" s="28" t="s">
        <v>16</v>
      </c>
      <c r="D29" s="19" t="s">
        <v>97</v>
      </c>
      <c r="E29" s="28" t="s">
        <v>59</v>
      </c>
      <c r="F29" s="39">
        <v>90</v>
      </c>
      <c r="G29" s="19"/>
    </row>
    <row r="30" spans="1:7" x14ac:dyDescent="0.25">
      <c r="A30" s="40">
        <v>45703</v>
      </c>
      <c r="B30" s="26" t="s">
        <v>57</v>
      </c>
      <c r="C30" s="26" t="s">
        <v>18</v>
      </c>
      <c r="D30" s="14" t="s">
        <v>95</v>
      </c>
      <c r="E30" s="26" t="s">
        <v>54</v>
      </c>
      <c r="F30" s="41">
        <v>42</v>
      </c>
      <c r="G30" s="14"/>
    </row>
    <row r="31" spans="1:7" x14ac:dyDescent="0.25">
      <c r="A31" s="38">
        <v>45706</v>
      </c>
      <c r="B31" s="28" t="s">
        <v>57</v>
      </c>
      <c r="C31" s="28" t="s">
        <v>17</v>
      </c>
      <c r="D31" s="19" t="s">
        <v>103</v>
      </c>
      <c r="E31" s="28" t="s">
        <v>59</v>
      </c>
      <c r="F31" s="39">
        <v>47</v>
      </c>
      <c r="G31" s="19"/>
    </row>
    <row r="32" spans="1:7" x14ac:dyDescent="0.25">
      <c r="A32" s="40">
        <v>45707</v>
      </c>
      <c r="B32" s="26" t="s">
        <v>57</v>
      </c>
      <c r="C32" s="26" t="s">
        <v>20</v>
      </c>
      <c r="D32" s="14" t="s">
        <v>96</v>
      </c>
      <c r="E32" s="26" t="s">
        <v>59</v>
      </c>
      <c r="F32" s="41">
        <v>39</v>
      </c>
      <c r="G32" s="14"/>
    </row>
    <row r="33" spans="1:7" x14ac:dyDescent="0.25">
      <c r="A33" s="38">
        <v>45708</v>
      </c>
      <c r="B33" s="28" t="s">
        <v>57</v>
      </c>
      <c r="C33" s="28" t="s">
        <v>16</v>
      </c>
      <c r="D33" s="19" t="s">
        <v>102</v>
      </c>
      <c r="E33" s="28" t="s">
        <v>59</v>
      </c>
      <c r="F33" s="39">
        <v>71</v>
      </c>
      <c r="G33" s="19"/>
    </row>
    <row r="34" spans="1:7" x14ac:dyDescent="0.25">
      <c r="A34" s="40">
        <v>45709</v>
      </c>
      <c r="B34" s="26" t="s">
        <v>57</v>
      </c>
      <c r="C34" s="26" t="s">
        <v>21</v>
      </c>
      <c r="D34" s="14" t="s">
        <v>98</v>
      </c>
      <c r="E34" s="26" t="s">
        <v>59</v>
      </c>
      <c r="F34" s="41">
        <v>20</v>
      </c>
      <c r="G34" s="14"/>
    </row>
    <row r="35" spans="1:7" x14ac:dyDescent="0.25">
      <c r="A35" s="38">
        <v>45709</v>
      </c>
      <c r="B35" s="28" t="s">
        <v>57</v>
      </c>
      <c r="C35" s="28" t="s">
        <v>21</v>
      </c>
      <c r="D35" s="19" t="s">
        <v>99</v>
      </c>
      <c r="E35" s="28" t="s">
        <v>54</v>
      </c>
      <c r="F35" s="39">
        <v>30</v>
      </c>
      <c r="G35" s="19"/>
    </row>
    <row r="36" spans="1:7" x14ac:dyDescent="0.25">
      <c r="A36" s="40">
        <v>45710</v>
      </c>
      <c r="B36" s="26" t="s">
        <v>57</v>
      </c>
      <c r="C36" s="26" t="s">
        <v>19</v>
      </c>
      <c r="D36" s="14" t="s">
        <v>100</v>
      </c>
      <c r="E36" s="26" t="s">
        <v>59</v>
      </c>
      <c r="F36" s="41">
        <v>31</v>
      </c>
      <c r="G36" s="14"/>
    </row>
    <row r="37" spans="1:7" x14ac:dyDescent="0.25">
      <c r="A37" s="38">
        <v>45713</v>
      </c>
      <c r="B37" s="28" t="s">
        <v>57</v>
      </c>
      <c r="C37" s="28" t="s">
        <v>22</v>
      </c>
      <c r="D37" s="19" t="s">
        <v>101</v>
      </c>
      <c r="E37" s="28" t="s">
        <v>62</v>
      </c>
      <c r="F37" s="39">
        <v>400</v>
      </c>
      <c r="G37" s="19"/>
    </row>
    <row r="38" spans="1:7" x14ac:dyDescent="0.25">
      <c r="A38" s="40">
        <v>45715</v>
      </c>
      <c r="B38" s="26" t="s">
        <v>57</v>
      </c>
      <c r="C38" s="26" t="s">
        <v>16</v>
      </c>
      <c r="D38" s="14" t="s">
        <v>89</v>
      </c>
      <c r="E38" s="26" t="s">
        <v>59</v>
      </c>
      <c r="F38" s="41">
        <v>60</v>
      </c>
      <c r="G38" s="14"/>
    </row>
    <row r="39" spans="1:7" x14ac:dyDescent="0.25">
      <c r="A39" s="38">
        <v>45717</v>
      </c>
      <c r="B39" s="28" t="s">
        <v>52</v>
      </c>
      <c r="C39" s="28" t="s">
        <v>53</v>
      </c>
      <c r="D39" s="19" t="s">
        <v>86</v>
      </c>
      <c r="E39" s="28" t="s">
        <v>62</v>
      </c>
      <c r="F39" s="39">
        <v>2300</v>
      </c>
      <c r="G39" s="19"/>
    </row>
    <row r="40" spans="1:7" x14ac:dyDescent="0.25">
      <c r="A40" s="40">
        <v>45719</v>
      </c>
      <c r="B40" s="26" t="s">
        <v>57</v>
      </c>
      <c r="C40" s="26" t="s">
        <v>14</v>
      </c>
      <c r="D40" s="14" t="s">
        <v>87</v>
      </c>
      <c r="E40" s="26" t="s">
        <v>62</v>
      </c>
      <c r="F40" s="41">
        <v>720</v>
      </c>
      <c r="G40" s="14"/>
    </row>
    <row r="41" spans="1:7" x14ac:dyDescent="0.25">
      <c r="A41" s="38">
        <v>45721</v>
      </c>
      <c r="B41" s="28" t="s">
        <v>57</v>
      </c>
      <c r="C41" s="28" t="s">
        <v>15</v>
      </c>
      <c r="D41" s="19" t="s">
        <v>88</v>
      </c>
      <c r="E41" s="28" t="s">
        <v>54</v>
      </c>
      <c r="F41" s="39">
        <v>88</v>
      </c>
      <c r="G41" s="19"/>
    </row>
    <row r="42" spans="1:7" x14ac:dyDescent="0.25">
      <c r="A42" s="40">
        <v>45722</v>
      </c>
      <c r="B42" s="26" t="s">
        <v>57</v>
      </c>
      <c r="C42" s="26" t="s">
        <v>16</v>
      </c>
      <c r="D42" s="14" t="s">
        <v>97</v>
      </c>
      <c r="E42" s="26" t="s">
        <v>59</v>
      </c>
      <c r="F42" s="41">
        <v>63</v>
      </c>
      <c r="G42" s="14"/>
    </row>
    <row r="43" spans="1:7" x14ac:dyDescent="0.25">
      <c r="A43" s="38">
        <v>45724</v>
      </c>
      <c r="B43" s="28" t="s">
        <v>57</v>
      </c>
      <c r="C43" s="28" t="s">
        <v>15</v>
      </c>
      <c r="D43" s="19" t="s">
        <v>90</v>
      </c>
      <c r="E43" s="28" t="s">
        <v>54</v>
      </c>
      <c r="F43" s="39">
        <v>45</v>
      </c>
      <c r="G43" s="19"/>
    </row>
    <row r="44" spans="1:7" x14ac:dyDescent="0.25">
      <c r="A44" s="40">
        <v>45726</v>
      </c>
      <c r="B44" s="26" t="s">
        <v>57</v>
      </c>
      <c r="C44" s="26" t="s">
        <v>17</v>
      </c>
      <c r="D44" s="14" t="s">
        <v>92</v>
      </c>
      <c r="E44" s="26" t="s">
        <v>59</v>
      </c>
      <c r="F44" s="41">
        <v>55</v>
      </c>
      <c r="G44" s="14"/>
    </row>
    <row r="45" spans="1:7" x14ac:dyDescent="0.25">
      <c r="A45" s="38">
        <v>45728</v>
      </c>
      <c r="B45" s="28" t="s">
        <v>57</v>
      </c>
      <c r="C45" s="28" t="s">
        <v>19</v>
      </c>
      <c r="D45" s="19" t="s">
        <v>93</v>
      </c>
      <c r="E45" s="28" t="s">
        <v>59</v>
      </c>
      <c r="F45" s="39">
        <v>48</v>
      </c>
      <c r="G45" s="19"/>
    </row>
    <row r="46" spans="1:7" x14ac:dyDescent="0.25">
      <c r="A46" s="40">
        <v>45729</v>
      </c>
      <c r="B46" s="26" t="s">
        <v>57</v>
      </c>
      <c r="C46" s="26" t="s">
        <v>16</v>
      </c>
      <c r="D46" s="14" t="s">
        <v>102</v>
      </c>
      <c r="E46" s="26" t="s">
        <v>59</v>
      </c>
      <c r="F46" s="41">
        <v>85</v>
      </c>
      <c r="G46" s="14"/>
    </row>
    <row r="47" spans="1:7" x14ac:dyDescent="0.25">
      <c r="A47" s="38">
        <v>45731</v>
      </c>
      <c r="B47" s="28" t="s">
        <v>57</v>
      </c>
      <c r="C47" s="28" t="s">
        <v>18</v>
      </c>
      <c r="D47" s="19" t="s">
        <v>95</v>
      </c>
      <c r="E47" s="28" t="s">
        <v>54</v>
      </c>
      <c r="F47" s="39">
        <v>42</v>
      </c>
      <c r="G47" s="19"/>
    </row>
    <row r="48" spans="1:7" x14ac:dyDescent="0.25">
      <c r="A48" s="40">
        <v>45733</v>
      </c>
      <c r="B48" s="26" t="s">
        <v>57</v>
      </c>
      <c r="C48" s="26" t="s">
        <v>18</v>
      </c>
      <c r="D48" s="14" t="s">
        <v>104</v>
      </c>
      <c r="E48" s="26" t="s">
        <v>65</v>
      </c>
      <c r="F48" s="41">
        <v>15</v>
      </c>
      <c r="G48" s="14"/>
    </row>
    <row r="49" spans="1:7" x14ac:dyDescent="0.25">
      <c r="A49" s="38">
        <v>45735</v>
      </c>
      <c r="B49" s="28" t="s">
        <v>57</v>
      </c>
      <c r="C49" s="28" t="s">
        <v>20</v>
      </c>
      <c r="D49" s="19" t="s">
        <v>96</v>
      </c>
      <c r="E49" s="28" t="s">
        <v>59</v>
      </c>
      <c r="F49" s="39">
        <v>72</v>
      </c>
      <c r="G49" s="19"/>
    </row>
    <row r="50" spans="1:7" x14ac:dyDescent="0.25">
      <c r="A50" s="40">
        <v>45736</v>
      </c>
      <c r="B50" s="26" t="s">
        <v>57</v>
      </c>
      <c r="C50" s="26" t="s">
        <v>16</v>
      </c>
      <c r="D50" s="14" t="s">
        <v>89</v>
      </c>
      <c r="E50" s="26" t="s">
        <v>59</v>
      </c>
      <c r="F50" s="41">
        <v>61</v>
      </c>
      <c r="G50" s="14"/>
    </row>
    <row r="51" spans="1:7" x14ac:dyDescent="0.25">
      <c r="A51" s="38">
        <v>45737</v>
      </c>
      <c r="B51" s="28" t="s">
        <v>57</v>
      </c>
      <c r="C51" s="28" t="s">
        <v>21</v>
      </c>
      <c r="D51" s="19" t="s">
        <v>98</v>
      </c>
      <c r="E51" s="28" t="s">
        <v>59</v>
      </c>
      <c r="F51" s="39">
        <v>20</v>
      </c>
      <c r="G51" s="19"/>
    </row>
    <row r="52" spans="1:7" x14ac:dyDescent="0.25">
      <c r="A52" s="40">
        <v>45737</v>
      </c>
      <c r="B52" s="26" t="s">
        <v>57</v>
      </c>
      <c r="C52" s="26" t="s">
        <v>21</v>
      </c>
      <c r="D52" s="14" t="s">
        <v>99</v>
      </c>
      <c r="E52" s="26" t="s">
        <v>54</v>
      </c>
      <c r="F52" s="41">
        <v>30</v>
      </c>
      <c r="G52" s="14"/>
    </row>
    <row r="53" spans="1:7" x14ac:dyDescent="0.25">
      <c r="A53" s="38">
        <v>45738</v>
      </c>
      <c r="B53" s="28" t="s">
        <v>57</v>
      </c>
      <c r="C53" s="28" t="s">
        <v>19</v>
      </c>
      <c r="D53" s="19" t="s">
        <v>100</v>
      </c>
      <c r="E53" s="28" t="s">
        <v>59</v>
      </c>
      <c r="F53" s="39">
        <v>38</v>
      </c>
      <c r="G53" s="19"/>
    </row>
    <row r="54" spans="1:7" x14ac:dyDescent="0.25">
      <c r="A54" s="40">
        <v>45741</v>
      </c>
      <c r="B54" s="26" t="s">
        <v>57</v>
      </c>
      <c r="C54" s="26" t="s">
        <v>22</v>
      </c>
      <c r="D54" s="14" t="s">
        <v>101</v>
      </c>
      <c r="E54" s="26" t="s">
        <v>62</v>
      </c>
      <c r="F54" s="41">
        <v>350</v>
      </c>
      <c r="G54" s="14"/>
    </row>
    <row r="55" spans="1:7" x14ac:dyDescent="0.25">
      <c r="A55" s="38">
        <v>45743</v>
      </c>
      <c r="B55" s="28" t="s">
        <v>57</v>
      </c>
      <c r="C55" s="28" t="s">
        <v>16</v>
      </c>
      <c r="D55" s="19" t="s">
        <v>94</v>
      </c>
      <c r="E55" s="28" t="s">
        <v>59</v>
      </c>
      <c r="F55" s="39">
        <v>65</v>
      </c>
      <c r="G55" s="19"/>
    </row>
    <row r="56" spans="1:7" x14ac:dyDescent="0.25">
      <c r="A56" s="40">
        <v>45748</v>
      </c>
      <c r="B56" s="26" t="s">
        <v>52</v>
      </c>
      <c r="C56" s="26" t="s">
        <v>53</v>
      </c>
      <c r="D56" s="14" t="s">
        <v>86</v>
      </c>
      <c r="E56" s="26" t="s">
        <v>62</v>
      </c>
      <c r="F56" s="41">
        <v>2300</v>
      </c>
      <c r="G56" s="14"/>
    </row>
    <row r="57" spans="1:7" x14ac:dyDescent="0.25">
      <c r="A57" s="38">
        <v>45750</v>
      </c>
      <c r="B57" s="28" t="s">
        <v>57</v>
      </c>
      <c r="C57" s="28" t="s">
        <v>14</v>
      </c>
      <c r="D57" s="19" t="s">
        <v>87</v>
      </c>
      <c r="E57" s="28" t="s">
        <v>62</v>
      </c>
      <c r="F57" s="39">
        <v>720</v>
      </c>
      <c r="G57" s="19"/>
    </row>
    <row r="58" spans="1:7" x14ac:dyDescent="0.25">
      <c r="A58" s="40">
        <v>45752</v>
      </c>
      <c r="B58" s="26" t="s">
        <v>57</v>
      </c>
      <c r="C58" s="26" t="s">
        <v>15</v>
      </c>
      <c r="D58" s="14" t="s">
        <v>88</v>
      </c>
      <c r="E58" s="26" t="s">
        <v>54</v>
      </c>
      <c r="F58" s="41">
        <v>80</v>
      </c>
      <c r="G58" s="14"/>
    </row>
    <row r="59" spans="1:7" x14ac:dyDescent="0.25">
      <c r="A59" s="38">
        <v>45753</v>
      </c>
      <c r="B59" s="28" t="s">
        <v>57</v>
      </c>
      <c r="C59" s="28" t="s">
        <v>16</v>
      </c>
      <c r="D59" s="19" t="s">
        <v>102</v>
      </c>
      <c r="E59" s="28" t="s">
        <v>59</v>
      </c>
      <c r="F59" s="39">
        <v>83</v>
      </c>
      <c r="G59" s="19"/>
    </row>
    <row r="60" spans="1:7" x14ac:dyDescent="0.25">
      <c r="A60" s="40">
        <v>45755</v>
      </c>
      <c r="B60" s="26" t="s">
        <v>57</v>
      </c>
      <c r="C60" s="26" t="s">
        <v>15</v>
      </c>
      <c r="D60" s="14" t="s">
        <v>90</v>
      </c>
      <c r="E60" s="26" t="s">
        <v>54</v>
      </c>
      <c r="F60" s="41">
        <v>45</v>
      </c>
      <c r="G60" s="14"/>
    </row>
    <row r="61" spans="1:7" x14ac:dyDescent="0.25">
      <c r="A61" s="38">
        <v>45757</v>
      </c>
      <c r="B61" s="28" t="s">
        <v>57</v>
      </c>
      <c r="C61" s="28" t="s">
        <v>17</v>
      </c>
      <c r="D61" s="19" t="s">
        <v>92</v>
      </c>
      <c r="E61" s="28" t="s">
        <v>59</v>
      </c>
      <c r="F61" s="39">
        <v>55</v>
      </c>
      <c r="G61" s="19"/>
    </row>
    <row r="62" spans="1:7" x14ac:dyDescent="0.25">
      <c r="A62" s="40">
        <v>45759</v>
      </c>
      <c r="B62" s="26" t="s">
        <v>52</v>
      </c>
      <c r="C62" s="26" t="s">
        <v>58</v>
      </c>
      <c r="D62" s="14" t="s">
        <v>105</v>
      </c>
      <c r="E62" s="26" t="s">
        <v>67</v>
      </c>
      <c r="F62" s="41">
        <v>85</v>
      </c>
      <c r="G62" s="14"/>
    </row>
    <row r="63" spans="1:7" x14ac:dyDescent="0.25">
      <c r="A63" s="38">
        <v>45759</v>
      </c>
      <c r="B63" s="28" t="s">
        <v>57</v>
      </c>
      <c r="C63" s="28" t="s">
        <v>19</v>
      </c>
      <c r="D63" s="19" t="s">
        <v>93</v>
      </c>
      <c r="E63" s="28" t="s">
        <v>59</v>
      </c>
      <c r="F63" s="39">
        <v>55</v>
      </c>
      <c r="G63" s="19"/>
    </row>
    <row r="64" spans="1:7" x14ac:dyDescent="0.25">
      <c r="A64" s="40">
        <v>45760</v>
      </c>
      <c r="B64" s="26" t="s">
        <v>57</v>
      </c>
      <c r="C64" s="26" t="s">
        <v>16</v>
      </c>
      <c r="D64" s="14" t="s">
        <v>89</v>
      </c>
      <c r="E64" s="26" t="s">
        <v>59</v>
      </c>
      <c r="F64" s="41">
        <v>61</v>
      </c>
      <c r="G64" s="14"/>
    </row>
    <row r="65" spans="1:7" x14ac:dyDescent="0.25">
      <c r="A65" s="38">
        <v>45762</v>
      </c>
      <c r="B65" s="28" t="s">
        <v>57</v>
      </c>
      <c r="C65" s="28" t="s">
        <v>18</v>
      </c>
      <c r="D65" s="19" t="s">
        <v>95</v>
      </c>
      <c r="E65" s="28" t="s">
        <v>54</v>
      </c>
      <c r="F65" s="39">
        <v>42</v>
      </c>
      <c r="G65" s="19"/>
    </row>
    <row r="66" spans="1:7" x14ac:dyDescent="0.25">
      <c r="A66" s="40">
        <v>45765</v>
      </c>
      <c r="B66" s="26" t="s">
        <v>57</v>
      </c>
      <c r="C66" s="26" t="s">
        <v>17</v>
      </c>
      <c r="D66" s="14" t="s">
        <v>103</v>
      </c>
      <c r="E66" s="26" t="s">
        <v>59</v>
      </c>
      <c r="F66" s="41">
        <v>62</v>
      </c>
      <c r="G66" s="14"/>
    </row>
    <row r="67" spans="1:7" x14ac:dyDescent="0.25">
      <c r="A67" s="38">
        <v>45766</v>
      </c>
      <c r="B67" s="28" t="s">
        <v>57</v>
      </c>
      <c r="C67" s="28" t="s">
        <v>20</v>
      </c>
      <c r="D67" s="19" t="s">
        <v>96</v>
      </c>
      <c r="E67" s="28" t="s">
        <v>59</v>
      </c>
      <c r="F67" s="39">
        <v>53</v>
      </c>
      <c r="G67" s="19"/>
    </row>
    <row r="68" spans="1:7" x14ac:dyDescent="0.25">
      <c r="A68" s="40">
        <v>45767</v>
      </c>
      <c r="B68" s="26" t="s">
        <v>57</v>
      </c>
      <c r="C68" s="26" t="s">
        <v>16</v>
      </c>
      <c r="D68" s="14" t="s">
        <v>94</v>
      </c>
      <c r="E68" s="26" t="s">
        <v>59</v>
      </c>
      <c r="F68" s="41">
        <v>72</v>
      </c>
      <c r="G68" s="14"/>
    </row>
    <row r="69" spans="1:7" x14ac:dyDescent="0.25">
      <c r="A69" s="38">
        <v>45768</v>
      </c>
      <c r="B69" s="28" t="s">
        <v>57</v>
      </c>
      <c r="C69" s="28" t="s">
        <v>21</v>
      </c>
      <c r="D69" s="19" t="s">
        <v>98</v>
      </c>
      <c r="E69" s="28" t="s">
        <v>59</v>
      </c>
      <c r="F69" s="39">
        <v>20</v>
      </c>
      <c r="G69" s="19"/>
    </row>
    <row r="70" spans="1:7" x14ac:dyDescent="0.25">
      <c r="A70" s="40">
        <v>45768</v>
      </c>
      <c r="B70" s="26" t="s">
        <v>57</v>
      </c>
      <c r="C70" s="26" t="s">
        <v>21</v>
      </c>
      <c r="D70" s="14" t="s">
        <v>99</v>
      </c>
      <c r="E70" s="26" t="s">
        <v>54</v>
      </c>
      <c r="F70" s="41">
        <v>30</v>
      </c>
      <c r="G70" s="14"/>
    </row>
    <row r="71" spans="1:7" x14ac:dyDescent="0.25">
      <c r="A71" s="38">
        <v>45769</v>
      </c>
      <c r="B71" s="28" t="s">
        <v>57</v>
      </c>
      <c r="C71" s="28" t="s">
        <v>19</v>
      </c>
      <c r="D71" s="19" t="s">
        <v>100</v>
      </c>
      <c r="E71" s="28" t="s">
        <v>59</v>
      </c>
      <c r="F71" s="39">
        <v>22</v>
      </c>
      <c r="G71" s="19"/>
    </row>
    <row r="72" spans="1:7" x14ac:dyDescent="0.25">
      <c r="A72" s="40">
        <v>45772</v>
      </c>
      <c r="B72" s="26" t="s">
        <v>57</v>
      </c>
      <c r="C72" s="26" t="s">
        <v>22</v>
      </c>
      <c r="D72" s="14" t="s">
        <v>101</v>
      </c>
      <c r="E72" s="26" t="s">
        <v>62</v>
      </c>
      <c r="F72" s="41">
        <v>450</v>
      </c>
      <c r="G72" s="14"/>
    </row>
    <row r="73" spans="1:7" x14ac:dyDescent="0.25">
      <c r="A73" s="38">
        <v>45774</v>
      </c>
      <c r="B73" s="28" t="s">
        <v>57</v>
      </c>
      <c r="C73" s="28" t="s">
        <v>16</v>
      </c>
      <c r="D73" s="19" t="s">
        <v>97</v>
      </c>
      <c r="E73" s="28" t="s">
        <v>59</v>
      </c>
      <c r="F73" s="39">
        <v>60</v>
      </c>
      <c r="G73" s="19"/>
    </row>
    <row r="74" spans="1:7" x14ac:dyDescent="0.25">
      <c r="A74" s="40">
        <v>45778</v>
      </c>
      <c r="B74" s="26" t="s">
        <v>52</v>
      </c>
      <c r="C74" s="26" t="s">
        <v>53</v>
      </c>
      <c r="D74" s="14" t="s">
        <v>86</v>
      </c>
      <c r="E74" s="26" t="s">
        <v>62</v>
      </c>
      <c r="F74" s="41">
        <v>2300</v>
      </c>
      <c r="G74" s="14"/>
    </row>
    <row r="75" spans="1:7" x14ac:dyDescent="0.25">
      <c r="A75" s="38">
        <v>45780</v>
      </c>
      <c r="B75" s="28" t="s">
        <v>57</v>
      </c>
      <c r="C75" s="28" t="s">
        <v>14</v>
      </c>
      <c r="D75" s="19" t="s">
        <v>87</v>
      </c>
      <c r="E75" s="28" t="s">
        <v>62</v>
      </c>
      <c r="F75" s="39">
        <v>720</v>
      </c>
      <c r="G75" s="19"/>
    </row>
    <row r="76" spans="1:7" x14ac:dyDescent="0.25">
      <c r="A76" s="40">
        <v>45782</v>
      </c>
      <c r="B76" s="26" t="s">
        <v>57</v>
      </c>
      <c r="C76" s="26" t="s">
        <v>15</v>
      </c>
      <c r="D76" s="14" t="s">
        <v>88</v>
      </c>
      <c r="E76" s="26" t="s">
        <v>54</v>
      </c>
      <c r="F76" s="41">
        <v>72</v>
      </c>
      <c r="G76" s="14"/>
    </row>
    <row r="77" spans="1:7" x14ac:dyDescent="0.25">
      <c r="A77" s="38">
        <v>45783</v>
      </c>
      <c r="B77" s="28" t="s">
        <v>57</v>
      </c>
      <c r="C77" s="28" t="s">
        <v>16</v>
      </c>
      <c r="D77" s="19" t="s">
        <v>89</v>
      </c>
      <c r="E77" s="28" t="s">
        <v>59</v>
      </c>
      <c r="F77" s="39">
        <v>67</v>
      </c>
      <c r="G77" s="19"/>
    </row>
    <row r="78" spans="1:7" x14ac:dyDescent="0.25">
      <c r="A78" s="40">
        <v>45785</v>
      </c>
      <c r="B78" s="26" t="s">
        <v>57</v>
      </c>
      <c r="C78" s="26" t="s">
        <v>15</v>
      </c>
      <c r="D78" s="14" t="s">
        <v>90</v>
      </c>
      <c r="E78" s="26" t="s">
        <v>54</v>
      </c>
      <c r="F78" s="41">
        <v>45</v>
      </c>
      <c r="G78" s="14"/>
    </row>
    <row r="79" spans="1:7" x14ac:dyDescent="0.25">
      <c r="A79" s="38">
        <v>45787</v>
      </c>
      <c r="B79" s="28" t="s">
        <v>57</v>
      </c>
      <c r="C79" s="28" t="s">
        <v>17</v>
      </c>
      <c r="D79" s="19" t="s">
        <v>92</v>
      </c>
      <c r="E79" s="28" t="s">
        <v>59</v>
      </c>
      <c r="F79" s="39">
        <v>55</v>
      </c>
      <c r="G79" s="19"/>
    </row>
    <row r="80" spans="1:7" x14ac:dyDescent="0.25">
      <c r="A80" s="40">
        <v>45789</v>
      </c>
      <c r="B80" s="26" t="s">
        <v>57</v>
      </c>
      <c r="C80" s="26" t="s">
        <v>19</v>
      </c>
      <c r="D80" s="14" t="s">
        <v>93</v>
      </c>
      <c r="E80" s="26" t="s">
        <v>59</v>
      </c>
      <c r="F80" s="41">
        <v>45</v>
      </c>
      <c r="G80" s="14"/>
    </row>
    <row r="81" spans="1:7" x14ac:dyDescent="0.25">
      <c r="A81" s="38">
        <v>45790</v>
      </c>
      <c r="B81" s="28" t="s">
        <v>57</v>
      </c>
      <c r="C81" s="28" t="s">
        <v>16</v>
      </c>
      <c r="D81" s="19" t="s">
        <v>94</v>
      </c>
      <c r="E81" s="28" t="s">
        <v>59</v>
      </c>
      <c r="F81" s="39">
        <v>92</v>
      </c>
      <c r="G81" s="19"/>
    </row>
    <row r="82" spans="1:7" x14ac:dyDescent="0.25">
      <c r="A82" s="40">
        <v>45792</v>
      </c>
      <c r="B82" s="26" t="s">
        <v>57</v>
      </c>
      <c r="C82" s="26" t="s">
        <v>18</v>
      </c>
      <c r="D82" s="14" t="s">
        <v>95</v>
      </c>
      <c r="E82" s="26" t="s">
        <v>54</v>
      </c>
      <c r="F82" s="41">
        <v>42</v>
      </c>
      <c r="G82" s="14"/>
    </row>
    <row r="83" spans="1:7" x14ac:dyDescent="0.25">
      <c r="A83" s="38">
        <v>45796</v>
      </c>
      <c r="B83" s="28" t="s">
        <v>57</v>
      </c>
      <c r="C83" s="28" t="s">
        <v>20</v>
      </c>
      <c r="D83" s="19" t="s">
        <v>96</v>
      </c>
      <c r="E83" s="28" t="s">
        <v>59</v>
      </c>
      <c r="F83" s="39">
        <v>46</v>
      </c>
      <c r="G83" s="19"/>
    </row>
    <row r="84" spans="1:7" x14ac:dyDescent="0.25">
      <c r="A84" s="40">
        <v>45797</v>
      </c>
      <c r="B84" s="26" t="s">
        <v>57</v>
      </c>
      <c r="C84" s="26" t="s">
        <v>16</v>
      </c>
      <c r="D84" s="14" t="s">
        <v>97</v>
      </c>
      <c r="E84" s="26" t="s">
        <v>59</v>
      </c>
      <c r="F84" s="41">
        <v>65</v>
      </c>
      <c r="G84" s="14"/>
    </row>
    <row r="85" spans="1:7" x14ac:dyDescent="0.25">
      <c r="A85" s="38">
        <v>45798</v>
      </c>
      <c r="B85" s="28" t="s">
        <v>57</v>
      </c>
      <c r="C85" s="28" t="s">
        <v>21</v>
      </c>
      <c r="D85" s="19" t="s">
        <v>98</v>
      </c>
      <c r="E85" s="28" t="s">
        <v>59</v>
      </c>
      <c r="F85" s="39">
        <v>20</v>
      </c>
      <c r="G85" s="19"/>
    </row>
    <row r="86" spans="1:7" x14ac:dyDescent="0.25">
      <c r="A86" s="40">
        <v>45798</v>
      </c>
      <c r="B86" s="26" t="s">
        <v>57</v>
      </c>
      <c r="C86" s="26" t="s">
        <v>21</v>
      </c>
      <c r="D86" s="14" t="s">
        <v>99</v>
      </c>
      <c r="E86" s="26" t="s">
        <v>54</v>
      </c>
      <c r="F86" s="41">
        <v>30</v>
      </c>
      <c r="G86" s="14"/>
    </row>
    <row r="87" spans="1:7" x14ac:dyDescent="0.25">
      <c r="A87" s="38">
        <v>45799</v>
      </c>
      <c r="B87" s="28" t="s">
        <v>57</v>
      </c>
      <c r="C87" s="28" t="s">
        <v>18</v>
      </c>
      <c r="D87" s="19" t="s">
        <v>106</v>
      </c>
      <c r="E87" s="28" t="s">
        <v>59</v>
      </c>
      <c r="F87" s="39">
        <v>80</v>
      </c>
      <c r="G87" s="19"/>
    </row>
    <row r="88" spans="1:7" x14ac:dyDescent="0.25">
      <c r="A88" s="40">
        <v>45799</v>
      </c>
      <c r="B88" s="26" t="s">
        <v>57</v>
      </c>
      <c r="C88" s="26" t="s">
        <v>19</v>
      </c>
      <c r="D88" s="14" t="s">
        <v>100</v>
      </c>
      <c r="E88" s="26" t="s">
        <v>59</v>
      </c>
      <c r="F88" s="41">
        <v>39</v>
      </c>
      <c r="G88" s="14"/>
    </row>
    <row r="89" spans="1:7" x14ac:dyDescent="0.25">
      <c r="A89" s="38">
        <v>45802</v>
      </c>
      <c r="B89" s="28" t="s">
        <v>57</v>
      </c>
      <c r="C89" s="28" t="s">
        <v>22</v>
      </c>
      <c r="D89" s="19" t="s">
        <v>101</v>
      </c>
      <c r="E89" s="28" t="s">
        <v>62</v>
      </c>
      <c r="F89" s="39">
        <v>350</v>
      </c>
      <c r="G89" s="19"/>
    </row>
    <row r="90" spans="1:7" x14ac:dyDescent="0.25">
      <c r="A90" s="40">
        <v>45804</v>
      </c>
      <c r="B90" s="26" t="s">
        <v>57</v>
      </c>
      <c r="C90" s="26" t="s">
        <v>16</v>
      </c>
      <c r="D90" s="14" t="s">
        <v>102</v>
      </c>
      <c r="E90" s="26" t="s">
        <v>59</v>
      </c>
      <c r="F90" s="41">
        <v>77</v>
      </c>
      <c r="G90" s="14"/>
    </row>
    <row r="91" spans="1:7" x14ac:dyDescent="0.25">
      <c r="A91" s="38">
        <v>45809</v>
      </c>
      <c r="B91" s="28" t="s">
        <v>52</v>
      </c>
      <c r="C91" s="28" t="s">
        <v>53</v>
      </c>
      <c r="D91" s="19" t="s">
        <v>86</v>
      </c>
      <c r="E91" s="28" t="s">
        <v>62</v>
      </c>
      <c r="F91" s="39">
        <v>2300</v>
      </c>
      <c r="G91" s="19"/>
    </row>
    <row r="92" spans="1:7" x14ac:dyDescent="0.25">
      <c r="A92" s="40">
        <v>45811</v>
      </c>
      <c r="B92" s="26" t="s">
        <v>57</v>
      </c>
      <c r="C92" s="26" t="s">
        <v>14</v>
      </c>
      <c r="D92" s="14" t="s">
        <v>87</v>
      </c>
      <c r="E92" s="26" t="s">
        <v>62</v>
      </c>
      <c r="F92" s="41">
        <v>720</v>
      </c>
      <c r="G92" s="14"/>
    </row>
    <row r="93" spans="1:7" x14ac:dyDescent="0.25">
      <c r="A93" s="38">
        <v>45813</v>
      </c>
      <c r="B93" s="28" t="s">
        <v>57</v>
      </c>
      <c r="C93" s="28" t="s">
        <v>15</v>
      </c>
      <c r="D93" s="19" t="s">
        <v>88</v>
      </c>
      <c r="E93" s="28" t="s">
        <v>54</v>
      </c>
      <c r="F93" s="39">
        <v>78</v>
      </c>
      <c r="G93" s="19"/>
    </row>
    <row r="94" spans="1:7" x14ac:dyDescent="0.25">
      <c r="A94" s="40">
        <v>45814</v>
      </c>
      <c r="B94" s="26" t="s">
        <v>57</v>
      </c>
      <c r="C94" s="26" t="s">
        <v>16</v>
      </c>
      <c r="D94" s="14" t="s">
        <v>94</v>
      </c>
      <c r="E94" s="26" t="s">
        <v>59</v>
      </c>
      <c r="F94" s="41">
        <v>70</v>
      </c>
      <c r="G94" s="14"/>
    </row>
    <row r="95" spans="1:7" x14ac:dyDescent="0.25">
      <c r="A95" s="38">
        <v>45816</v>
      </c>
      <c r="B95" s="28" t="s">
        <v>57</v>
      </c>
      <c r="C95" s="28" t="s">
        <v>15</v>
      </c>
      <c r="D95" s="19" t="s">
        <v>90</v>
      </c>
      <c r="E95" s="28" t="s">
        <v>54</v>
      </c>
      <c r="F95" s="39">
        <v>45</v>
      </c>
      <c r="G95" s="19"/>
    </row>
    <row r="96" spans="1:7" x14ac:dyDescent="0.25">
      <c r="A96" s="40">
        <v>45818</v>
      </c>
      <c r="B96" s="26" t="s">
        <v>57</v>
      </c>
      <c r="C96" s="26" t="s">
        <v>17</v>
      </c>
      <c r="D96" s="14" t="s">
        <v>92</v>
      </c>
      <c r="E96" s="26" t="s">
        <v>59</v>
      </c>
      <c r="F96" s="41">
        <v>55</v>
      </c>
      <c r="G96" s="14"/>
    </row>
    <row r="97" spans="1:7" x14ac:dyDescent="0.25">
      <c r="A97" s="38">
        <v>45820</v>
      </c>
      <c r="B97" s="28" t="s">
        <v>57</v>
      </c>
      <c r="C97" s="28" t="s">
        <v>19</v>
      </c>
      <c r="D97" s="19" t="s">
        <v>93</v>
      </c>
      <c r="E97" s="28" t="s">
        <v>59</v>
      </c>
      <c r="F97" s="39">
        <v>29</v>
      </c>
      <c r="G97" s="19"/>
    </row>
    <row r="98" spans="1:7" x14ac:dyDescent="0.25">
      <c r="A98" s="40">
        <v>45821</v>
      </c>
      <c r="B98" s="26" t="s">
        <v>57</v>
      </c>
      <c r="C98" s="26" t="s">
        <v>16</v>
      </c>
      <c r="D98" s="14" t="s">
        <v>97</v>
      </c>
      <c r="E98" s="26" t="s">
        <v>59</v>
      </c>
      <c r="F98" s="41">
        <v>81</v>
      </c>
      <c r="G98" s="14"/>
    </row>
    <row r="99" spans="1:7" x14ac:dyDescent="0.25">
      <c r="A99" s="38">
        <v>45823</v>
      </c>
      <c r="B99" s="28" t="s">
        <v>57</v>
      </c>
      <c r="C99" s="28" t="s">
        <v>18</v>
      </c>
      <c r="D99" s="19" t="s">
        <v>95</v>
      </c>
      <c r="E99" s="28" t="s">
        <v>54</v>
      </c>
      <c r="F99" s="39">
        <v>42</v>
      </c>
      <c r="G99" s="19"/>
    </row>
    <row r="100" spans="1:7" x14ac:dyDescent="0.25">
      <c r="A100" s="40">
        <v>45826</v>
      </c>
      <c r="B100" s="26" t="s">
        <v>57</v>
      </c>
      <c r="C100" s="26" t="s">
        <v>17</v>
      </c>
      <c r="D100" s="14" t="s">
        <v>103</v>
      </c>
      <c r="E100" s="26" t="s">
        <v>59</v>
      </c>
      <c r="F100" s="41">
        <v>63</v>
      </c>
      <c r="G100" s="14"/>
    </row>
    <row r="101" spans="1:7" x14ac:dyDescent="0.25">
      <c r="A101" s="38">
        <v>45827</v>
      </c>
      <c r="B101" s="28" t="s">
        <v>57</v>
      </c>
      <c r="C101" s="28" t="s">
        <v>20</v>
      </c>
      <c r="D101" s="19" t="s">
        <v>96</v>
      </c>
      <c r="E101" s="28" t="s">
        <v>59</v>
      </c>
      <c r="F101" s="39">
        <v>48</v>
      </c>
      <c r="G101" s="19"/>
    </row>
    <row r="102" spans="1:7" x14ac:dyDescent="0.25">
      <c r="A102" s="40">
        <v>45828</v>
      </c>
      <c r="B102" s="26" t="s">
        <v>57</v>
      </c>
      <c r="C102" s="26" t="s">
        <v>16</v>
      </c>
      <c r="D102" s="14" t="s">
        <v>102</v>
      </c>
      <c r="E102" s="26" t="s">
        <v>59</v>
      </c>
      <c r="F102" s="41">
        <v>64</v>
      </c>
      <c r="G102" s="14"/>
    </row>
    <row r="103" spans="1:7" x14ac:dyDescent="0.25">
      <c r="A103" s="38">
        <v>45829</v>
      </c>
      <c r="B103" s="28" t="s">
        <v>57</v>
      </c>
      <c r="C103" s="28" t="s">
        <v>21</v>
      </c>
      <c r="D103" s="19" t="s">
        <v>98</v>
      </c>
      <c r="E103" s="28" t="s">
        <v>59</v>
      </c>
      <c r="F103" s="39">
        <v>20</v>
      </c>
      <c r="G103" s="19"/>
    </row>
    <row r="104" spans="1:7" x14ac:dyDescent="0.25">
      <c r="A104" s="40">
        <v>45829</v>
      </c>
      <c r="B104" s="26" t="s">
        <v>57</v>
      </c>
      <c r="C104" s="26" t="s">
        <v>21</v>
      </c>
      <c r="D104" s="14" t="s">
        <v>99</v>
      </c>
      <c r="E104" s="26" t="s">
        <v>54</v>
      </c>
      <c r="F104" s="41">
        <v>30</v>
      </c>
      <c r="G104" s="14"/>
    </row>
    <row r="105" spans="1:7" x14ac:dyDescent="0.25">
      <c r="A105" s="38">
        <v>45830</v>
      </c>
      <c r="B105" s="28" t="s">
        <v>57</v>
      </c>
      <c r="C105" s="28" t="s">
        <v>19</v>
      </c>
      <c r="D105" s="19" t="s">
        <v>100</v>
      </c>
      <c r="E105" s="28" t="s">
        <v>59</v>
      </c>
      <c r="F105" s="39">
        <v>37</v>
      </c>
      <c r="G105" s="19"/>
    </row>
    <row r="106" spans="1:7" x14ac:dyDescent="0.25">
      <c r="A106" s="40">
        <v>45833</v>
      </c>
      <c r="B106" s="26" t="s">
        <v>57</v>
      </c>
      <c r="C106" s="26" t="s">
        <v>22</v>
      </c>
      <c r="D106" s="14" t="s">
        <v>101</v>
      </c>
      <c r="E106" s="26" t="s">
        <v>62</v>
      </c>
      <c r="F106" s="41">
        <v>450</v>
      </c>
      <c r="G106" s="14"/>
    </row>
    <row r="107" spans="1:7" x14ac:dyDescent="0.25">
      <c r="A107" s="38">
        <v>45835</v>
      </c>
      <c r="B107" s="28" t="s">
        <v>57</v>
      </c>
      <c r="C107" s="28" t="s">
        <v>16</v>
      </c>
      <c r="D107" s="19" t="s">
        <v>89</v>
      </c>
      <c r="E107" s="28" t="s">
        <v>59</v>
      </c>
      <c r="F107" s="39">
        <v>62</v>
      </c>
      <c r="G107" s="19"/>
    </row>
    <row r="108" spans="1:7" x14ac:dyDescent="0.25">
      <c r="A108" s="40">
        <v>45839</v>
      </c>
      <c r="B108" s="26" t="s">
        <v>52</v>
      </c>
      <c r="C108" s="26" t="s">
        <v>53</v>
      </c>
      <c r="D108" s="14" t="s">
        <v>86</v>
      </c>
      <c r="E108" s="26" t="s">
        <v>62</v>
      </c>
      <c r="F108" s="41">
        <v>2300</v>
      </c>
      <c r="G108" s="14"/>
    </row>
    <row r="109" spans="1:7" x14ac:dyDescent="0.25">
      <c r="A109" s="38">
        <v>45839</v>
      </c>
      <c r="B109" s="28" t="s">
        <v>52</v>
      </c>
      <c r="C109" s="28" t="s">
        <v>58</v>
      </c>
      <c r="D109" s="19" t="s">
        <v>107</v>
      </c>
      <c r="E109" s="28" t="s">
        <v>62</v>
      </c>
      <c r="F109" s="39">
        <v>1150</v>
      </c>
      <c r="G109" s="19"/>
    </row>
    <row r="110" spans="1:7" x14ac:dyDescent="0.25">
      <c r="A110" s="40">
        <v>45841</v>
      </c>
      <c r="B110" s="26" t="s">
        <v>57</v>
      </c>
      <c r="C110" s="26" t="s">
        <v>14</v>
      </c>
      <c r="D110" s="14" t="s">
        <v>87</v>
      </c>
      <c r="E110" s="26" t="s">
        <v>62</v>
      </c>
      <c r="F110" s="41">
        <v>720</v>
      </c>
      <c r="G110" s="14"/>
    </row>
    <row r="111" spans="1:7" x14ac:dyDescent="0.25">
      <c r="A111" s="38">
        <v>45843</v>
      </c>
      <c r="B111" s="28" t="s">
        <v>57</v>
      </c>
      <c r="C111" s="28" t="s">
        <v>15</v>
      </c>
      <c r="D111" s="19" t="s">
        <v>88</v>
      </c>
      <c r="E111" s="28" t="s">
        <v>54</v>
      </c>
      <c r="F111" s="39">
        <v>86</v>
      </c>
      <c r="G111" s="19"/>
    </row>
    <row r="112" spans="1:7" x14ac:dyDescent="0.25">
      <c r="A112" s="40">
        <v>45844</v>
      </c>
      <c r="B112" s="26" t="s">
        <v>57</v>
      </c>
      <c r="C112" s="26" t="s">
        <v>16</v>
      </c>
      <c r="D112" s="14" t="s">
        <v>97</v>
      </c>
      <c r="E112" s="26" t="s">
        <v>59</v>
      </c>
      <c r="F112" s="41">
        <v>92</v>
      </c>
      <c r="G112" s="14"/>
    </row>
    <row r="113" spans="1:7" x14ac:dyDescent="0.25">
      <c r="A113" s="38">
        <v>45846</v>
      </c>
      <c r="B113" s="28" t="s">
        <v>57</v>
      </c>
      <c r="C113" s="28" t="s">
        <v>15</v>
      </c>
      <c r="D113" s="19" t="s">
        <v>90</v>
      </c>
      <c r="E113" s="28" t="s">
        <v>54</v>
      </c>
      <c r="F113" s="39">
        <v>45</v>
      </c>
      <c r="G113" s="19"/>
    </row>
    <row r="114" spans="1:7" x14ac:dyDescent="0.25">
      <c r="A114" s="40">
        <v>45848</v>
      </c>
      <c r="B114" s="26" t="s">
        <v>57</v>
      </c>
      <c r="C114" s="26" t="s">
        <v>17</v>
      </c>
      <c r="D114" s="14" t="s">
        <v>92</v>
      </c>
      <c r="E114" s="26" t="s">
        <v>59</v>
      </c>
      <c r="F114" s="41">
        <v>55</v>
      </c>
      <c r="G114" s="14"/>
    </row>
    <row r="115" spans="1:7" x14ac:dyDescent="0.25">
      <c r="A115" s="38">
        <v>45850</v>
      </c>
      <c r="B115" s="28" t="s">
        <v>57</v>
      </c>
      <c r="C115" s="28" t="s">
        <v>19</v>
      </c>
      <c r="D115" s="19" t="s">
        <v>93</v>
      </c>
      <c r="E115" s="28" t="s">
        <v>59</v>
      </c>
      <c r="F115" s="39">
        <v>46</v>
      </c>
      <c r="G115" s="19"/>
    </row>
    <row r="116" spans="1:7" x14ac:dyDescent="0.25">
      <c r="A116" s="40">
        <v>45851</v>
      </c>
      <c r="B116" s="26" t="s">
        <v>57</v>
      </c>
      <c r="C116" s="26" t="s">
        <v>16</v>
      </c>
      <c r="D116" s="14" t="s">
        <v>102</v>
      </c>
      <c r="E116" s="26" t="s">
        <v>59</v>
      </c>
      <c r="F116" s="41">
        <v>85</v>
      </c>
      <c r="G116" s="14"/>
    </row>
    <row r="117" spans="1:7" x14ac:dyDescent="0.25">
      <c r="A117" s="38">
        <v>45853</v>
      </c>
      <c r="B117" s="28" t="s">
        <v>57</v>
      </c>
      <c r="C117" s="28" t="s">
        <v>18</v>
      </c>
      <c r="D117" s="19" t="s">
        <v>95</v>
      </c>
      <c r="E117" s="28" t="s">
        <v>54</v>
      </c>
      <c r="F117" s="39">
        <v>42</v>
      </c>
      <c r="G117" s="19"/>
    </row>
    <row r="118" spans="1:7" x14ac:dyDescent="0.25">
      <c r="A118" s="40">
        <v>45857</v>
      </c>
      <c r="B118" s="26" t="s">
        <v>57</v>
      </c>
      <c r="C118" s="26" t="s">
        <v>20</v>
      </c>
      <c r="D118" s="14" t="s">
        <v>96</v>
      </c>
      <c r="E118" s="26" t="s">
        <v>59</v>
      </c>
      <c r="F118" s="41">
        <v>58</v>
      </c>
      <c r="G118" s="14"/>
    </row>
    <row r="119" spans="1:7" x14ac:dyDescent="0.25">
      <c r="A119" s="38">
        <v>45858</v>
      </c>
      <c r="B119" s="28" t="s">
        <v>57</v>
      </c>
      <c r="C119" s="28" t="s">
        <v>16</v>
      </c>
      <c r="D119" s="19" t="s">
        <v>89</v>
      </c>
      <c r="E119" s="28" t="s">
        <v>59</v>
      </c>
      <c r="F119" s="39">
        <v>78</v>
      </c>
      <c r="G119" s="19"/>
    </row>
    <row r="120" spans="1:7" x14ac:dyDescent="0.25">
      <c r="A120" s="40">
        <v>45859</v>
      </c>
      <c r="B120" s="26" t="s">
        <v>57</v>
      </c>
      <c r="C120" s="26" t="s">
        <v>21</v>
      </c>
      <c r="D120" s="14" t="s">
        <v>98</v>
      </c>
      <c r="E120" s="26" t="s">
        <v>59</v>
      </c>
      <c r="F120" s="41">
        <v>20</v>
      </c>
      <c r="G120" s="14"/>
    </row>
    <row r="121" spans="1:7" x14ac:dyDescent="0.25">
      <c r="A121" s="38">
        <v>45859</v>
      </c>
      <c r="B121" s="28" t="s">
        <v>57</v>
      </c>
      <c r="C121" s="28" t="s">
        <v>21</v>
      </c>
      <c r="D121" s="19" t="s">
        <v>99</v>
      </c>
      <c r="E121" s="28" t="s">
        <v>54</v>
      </c>
      <c r="F121" s="39">
        <v>30</v>
      </c>
      <c r="G121" s="19"/>
    </row>
    <row r="122" spans="1:7" x14ac:dyDescent="0.25">
      <c r="A122" s="40">
        <v>45860</v>
      </c>
      <c r="B122" s="26" t="s">
        <v>57</v>
      </c>
      <c r="C122" s="26" t="s">
        <v>19</v>
      </c>
      <c r="D122" s="14" t="s">
        <v>100</v>
      </c>
      <c r="E122" s="26" t="s">
        <v>59</v>
      </c>
      <c r="F122" s="41">
        <v>32</v>
      </c>
      <c r="G122" s="14"/>
    </row>
    <row r="123" spans="1:7" x14ac:dyDescent="0.25">
      <c r="A123" s="38">
        <v>45863</v>
      </c>
      <c r="B123" s="28" t="s">
        <v>57</v>
      </c>
      <c r="C123" s="28" t="s">
        <v>22</v>
      </c>
      <c r="D123" s="19" t="s">
        <v>101</v>
      </c>
      <c r="E123" s="28" t="s">
        <v>62</v>
      </c>
      <c r="F123" s="39">
        <v>400</v>
      </c>
      <c r="G123" s="19"/>
    </row>
    <row r="124" spans="1:7" x14ac:dyDescent="0.25">
      <c r="A124" s="40">
        <v>45865</v>
      </c>
      <c r="B124" s="26" t="s">
        <v>57</v>
      </c>
      <c r="C124" s="26" t="s">
        <v>16</v>
      </c>
      <c r="D124" s="14" t="s">
        <v>94</v>
      </c>
      <c r="E124" s="26" t="s">
        <v>59</v>
      </c>
      <c r="F124" s="41">
        <v>87</v>
      </c>
      <c r="G124" s="14"/>
    </row>
    <row r="125" spans="1:7" x14ac:dyDescent="0.25">
      <c r="A125" s="38">
        <v>45870</v>
      </c>
      <c r="B125" s="28" t="s">
        <v>52</v>
      </c>
      <c r="C125" s="28" t="s">
        <v>53</v>
      </c>
      <c r="D125" s="19" t="s">
        <v>86</v>
      </c>
      <c r="E125" s="28" t="s">
        <v>62</v>
      </c>
      <c r="F125" s="39">
        <v>2300</v>
      </c>
      <c r="G125" s="19"/>
    </row>
    <row r="126" spans="1:7" x14ac:dyDescent="0.25">
      <c r="A126" s="40">
        <v>45872</v>
      </c>
      <c r="B126" s="26" t="s">
        <v>57</v>
      </c>
      <c r="C126" s="26" t="s">
        <v>14</v>
      </c>
      <c r="D126" s="14" t="s">
        <v>87</v>
      </c>
      <c r="E126" s="26" t="s">
        <v>62</v>
      </c>
      <c r="F126" s="41">
        <v>720</v>
      </c>
      <c r="G126" s="14"/>
    </row>
    <row r="127" spans="1:7" x14ac:dyDescent="0.25">
      <c r="A127" s="38">
        <v>45874</v>
      </c>
      <c r="B127" s="28" t="s">
        <v>57</v>
      </c>
      <c r="C127" s="28" t="s">
        <v>15</v>
      </c>
      <c r="D127" s="19" t="s">
        <v>88</v>
      </c>
      <c r="E127" s="28" t="s">
        <v>54</v>
      </c>
      <c r="F127" s="39">
        <v>92</v>
      </c>
      <c r="G127" s="19"/>
    </row>
    <row r="128" spans="1:7" x14ac:dyDescent="0.25">
      <c r="A128" s="40">
        <v>45875</v>
      </c>
      <c r="B128" s="26" t="s">
        <v>57</v>
      </c>
      <c r="C128" s="26" t="s">
        <v>16</v>
      </c>
      <c r="D128" s="14" t="s">
        <v>102</v>
      </c>
      <c r="E128" s="26" t="s">
        <v>59</v>
      </c>
      <c r="F128" s="41">
        <v>73</v>
      </c>
      <c r="G128" s="14"/>
    </row>
    <row r="129" spans="1:7" x14ac:dyDescent="0.25">
      <c r="A129" s="38">
        <v>45876</v>
      </c>
      <c r="B129" s="28" t="s">
        <v>57</v>
      </c>
      <c r="C129" s="28" t="s">
        <v>19</v>
      </c>
      <c r="D129" s="19" t="s">
        <v>108</v>
      </c>
      <c r="E129" s="28" t="s">
        <v>59</v>
      </c>
      <c r="F129" s="39">
        <v>220</v>
      </c>
      <c r="G129" s="19"/>
    </row>
    <row r="130" spans="1:7" x14ac:dyDescent="0.25">
      <c r="A130" s="40">
        <v>45877</v>
      </c>
      <c r="B130" s="26" t="s">
        <v>57</v>
      </c>
      <c r="C130" s="26" t="s">
        <v>15</v>
      </c>
      <c r="D130" s="14" t="s">
        <v>90</v>
      </c>
      <c r="E130" s="26" t="s">
        <v>54</v>
      </c>
      <c r="F130" s="41">
        <v>45</v>
      </c>
      <c r="G130" s="14"/>
    </row>
    <row r="131" spans="1:7" x14ac:dyDescent="0.25">
      <c r="A131" s="38">
        <v>45877</v>
      </c>
      <c r="B131" s="28" t="s">
        <v>57</v>
      </c>
      <c r="C131" s="28" t="s">
        <v>20</v>
      </c>
      <c r="D131" s="19" t="s">
        <v>109</v>
      </c>
      <c r="E131" s="28" t="s">
        <v>59</v>
      </c>
      <c r="F131" s="39">
        <v>180</v>
      </c>
      <c r="G131" s="19"/>
    </row>
    <row r="132" spans="1:7" x14ac:dyDescent="0.25">
      <c r="A132" s="40">
        <v>45878</v>
      </c>
      <c r="B132" s="26" t="s">
        <v>57</v>
      </c>
      <c r="C132" s="26" t="s">
        <v>17</v>
      </c>
      <c r="D132" s="14" t="s">
        <v>110</v>
      </c>
      <c r="E132" s="26" t="s">
        <v>59</v>
      </c>
      <c r="F132" s="41">
        <v>90</v>
      </c>
      <c r="G132" s="14"/>
    </row>
    <row r="133" spans="1:7" x14ac:dyDescent="0.25">
      <c r="A133" s="38">
        <v>45879</v>
      </c>
      <c r="B133" s="28" t="s">
        <v>57</v>
      </c>
      <c r="C133" s="28" t="s">
        <v>17</v>
      </c>
      <c r="D133" s="19" t="s">
        <v>92</v>
      </c>
      <c r="E133" s="28" t="s">
        <v>59</v>
      </c>
      <c r="F133" s="39">
        <v>55</v>
      </c>
      <c r="G133" s="19"/>
    </row>
    <row r="134" spans="1:7" x14ac:dyDescent="0.25">
      <c r="A134" s="40">
        <v>45881</v>
      </c>
      <c r="B134" s="26" t="s">
        <v>57</v>
      </c>
      <c r="C134" s="26" t="s">
        <v>19</v>
      </c>
      <c r="D134" s="14" t="s">
        <v>93</v>
      </c>
      <c r="E134" s="26" t="s">
        <v>59</v>
      </c>
      <c r="F134" s="41">
        <v>37</v>
      </c>
      <c r="G134" s="14"/>
    </row>
    <row r="135" spans="1:7" x14ac:dyDescent="0.25">
      <c r="A135" s="38">
        <v>45882</v>
      </c>
      <c r="B135" s="28" t="s">
        <v>57</v>
      </c>
      <c r="C135" s="28" t="s">
        <v>16</v>
      </c>
      <c r="D135" s="19" t="s">
        <v>89</v>
      </c>
      <c r="E135" s="28" t="s">
        <v>59</v>
      </c>
      <c r="F135" s="39">
        <v>69</v>
      </c>
      <c r="G135" s="19"/>
    </row>
    <row r="136" spans="1:7" x14ac:dyDescent="0.25">
      <c r="A136" s="40">
        <v>45884</v>
      </c>
      <c r="B136" s="26" t="s">
        <v>57</v>
      </c>
      <c r="C136" s="26" t="s">
        <v>18</v>
      </c>
      <c r="D136" s="14" t="s">
        <v>95</v>
      </c>
      <c r="E136" s="26" t="s">
        <v>54</v>
      </c>
      <c r="F136" s="41">
        <v>42</v>
      </c>
      <c r="G136" s="14"/>
    </row>
    <row r="137" spans="1:7" x14ac:dyDescent="0.25">
      <c r="A137" s="38">
        <v>45887</v>
      </c>
      <c r="B137" s="28" t="s">
        <v>57</v>
      </c>
      <c r="C137" s="28" t="s">
        <v>17</v>
      </c>
      <c r="D137" s="19" t="s">
        <v>103</v>
      </c>
      <c r="E137" s="28" t="s">
        <v>59</v>
      </c>
      <c r="F137" s="39">
        <v>63</v>
      </c>
      <c r="G137" s="19"/>
    </row>
    <row r="138" spans="1:7" x14ac:dyDescent="0.25">
      <c r="A138" s="40">
        <v>45888</v>
      </c>
      <c r="B138" s="26" t="s">
        <v>57</v>
      </c>
      <c r="C138" s="26" t="s">
        <v>20</v>
      </c>
      <c r="D138" s="14" t="s">
        <v>96</v>
      </c>
      <c r="E138" s="26" t="s">
        <v>59</v>
      </c>
      <c r="F138" s="41">
        <v>66</v>
      </c>
      <c r="G138" s="14"/>
    </row>
    <row r="139" spans="1:7" x14ac:dyDescent="0.25">
      <c r="A139" s="38">
        <v>45889</v>
      </c>
      <c r="B139" s="28" t="s">
        <v>57</v>
      </c>
      <c r="C139" s="28" t="s">
        <v>16</v>
      </c>
      <c r="D139" s="19" t="s">
        <v>94</v>
      </c>
      <c r="E139" s="28" t="s">
        <v>59</v>
      </c>
      <c r="F139" s="39">
        <v>73</v>
      </c>
      <c r="G139" s="19"/>
    </row>
    <row r="140" spans="1:7" x14ac:dyDescent="0.25">
      <c r="A140" s="40">
        <v>45890</v>
      </c>
      <c r="B140" s="26" t="s">
        <v>57</v>
      </c>
      <c r="C140" s="26" t="s">
        <v>21</v>
      </c>
      <c r="D140" s="14" t="s">
        <v>98</v>
      </c>
      <c r="E140" s="26" t="s">
        <v>59</v>
      </c>
      <c r="F140" s="41">
        <v>20</v>
      </c>
      <c r="G140" s="14"/>
    </row>
    <row r="141" spans="1:7" x14ac:dyDescent="0.25">
      <c r="A141" s="38">
        <v>45890</v>
      </c>
      <c r="B141" s="28" t="s">
        <v>57</v>
      </c>
      <c r="C141" s="28" t="s">
        <v>21</v>
      </c>
      <c r="D141" s="19" t="s">
        <v>99</v>
      </c>
      <c r="E141" s="28" t="s">
        <v>54</v>
      </c>
      <c r="F141" s="39">
        <v>30</v>
      </c>
      <c r="G141" s="19"/>
    </row>
    <row r="142" spans="1:7" x14ac:dyDescent="0.25">
      <c r="A142" s="40">
        <v>45891</v>
      </c>
      <c r="B142" s="26" t="s">
        <v>57</v>
      </c>
      <c r="C142" s="26" t="s">
        <v>19</v>
      </c>
      <c r="D142" s="14" t="s">
        <v>100</v>
      </c>
      <c r="E142" s="26" t="s">
        <v>59</v>
      </c>
      <c r="F142" s="41">
        <v>34</v>
      </c>
      <c r="G142" s="14"/>
    </row>
    <row r="143" spans="1:7" x14ac:dyDescent="0.25">
      <c r="A143" s="38">
        <v>45894</v>
      </c>
      <c r="B143" s="28" t="s">
        <v>57</v>
      </c>
      <c r="C143" s="28" t="s">
        <v>22</v>
      </c>
      <c r="D143" s="19" t="s">
        <v>101</v>
      </c>
      <c r="E143" s="28" t="s">
        <v>62</v>
      </c>
      <c r="F143" s="39">
        <v>400</v>
      </c>
      <c r="G143" s="19"/>
    </row>
    <row r="144" spans="1:7" x14ac:dyDescent="0.25">
      <c r="A144" s="40">
        <v>45896</v>
      </c>
      <c r="B144" s="26" t="s">
        <v>57</v>
      </c>
      <c r="C144" s="26" t="s">
        <v>16</v>
      </c>
      <c r="D144" s="14" t="s">
        <v>97</v>
      </c>
      <c r="E144" s="26" t="s">
        <v>59</v>
      </c>
      <c r="F144" s="41">
        <v>63</v>
      </c>
      <c r="G144" s="14"/>
    </row>
    <row r="145" spans="1:7" x14ac:dyDescent="0.25">
      <c r="A145" s="38">
        <v>45901</v>
      </c>
      <c r="B145" s="28" t="s">
        <v>52</v>
      </c>
      <c r="C145" s="28" t="s">
        <v>53</v>
      </c>
      <c r="D145" s="19" t="s">
        <v>86</v>
      </c>
      <c r="E145" s="28" t="s">
        <v>62</v>
      </c>
      <c r="F145" s="39">
        <v>2300</v>
      </c>
      <c r="G145" s="19"/>
    </row>
    <row r="146" spans="1:7" x14ac:dyDescent="0.25">
      <c r="A146" s="40">
        <v>45903</v>
      </c>
      <c r="B146" s="26" t="s">
        <v>57</v>
      </c>
      <c r="C146" s="26" t="s">
        <v>14</v>
      </c>
      <c r="D146" s="14" t="s">
        <v>87</v>
      </c>
      <c r="E146" s="26" t="s">
        <v>62</v>
      </c>
      <c r="F146" s="41">
        <v>720</v>
      </c>
      <c r="G146" s="14"/>
    </row>
    <row r="147" spans="1:7" x14ac:dyDescent="0.25">
      <c r="A147" s="38">
        <v>45903</v>
      </c>
      <c r="B147" s="28" t="s">
        <v>57</v>
      </c>
      <c r="C147" s="28" t="s">
        <v>20</v>
      </c>
      <c r="D147" s="19" t="s">
        <v>111</v>
      </c>
      <c r="E147" s="28" t="s">
        <v>59</v>
      </c>
      <c r="F147" s="39">
        <v>120</v>
      </c>
      <c r="G147" s="19"/>
    </row>
    <row r="148" spans="1:7" x14ac:dyDescent="0.25">
      <c r="A148" s="40">
        <v>45905</v>
      </c>
      <c r="B148" s="26" t="s">
        <v>57</v>
      </c>
      <c r="C148" s="26" t="s">
        <v>15</v>
      </c>
      <c r="D148" s="14" t="s">
        <v>88</v>
      </c>
      <c r="E148" s="26" t="s">
        <v>54</v>
      </c>
      <c r="F148" s="41">
        <v>76</v>
      </c>
      <c r="G148" s="14"/>
    </row>
    <row r="149" spans="1:7" x14ac:dyDescent="0.25">
      <c r="A149" s="38">
        <v>45906</v>
      </c>
      <c r="B149" s="28" t="s">
        <v>57</v>
      </c>
      <c r="C149" s="28" t="s">
        <v>16</v>
      </c>
      <c r="D149" s="19" t="s">
        <v>89</v>
      </c>
      <c r="E149" s="28" t="s">
        <v>59</v>
      </c>
      <c r="F149" s="39">
        <v>86</v>
      </c>
      <c r="G149" s="19"/>
    </row>
    <row r="150" spans="1:7" x14ac:dyDescent="0.25">
      <c r="A150" s="40">
        <v>45908</v>
      </c>
      <c r="B150" s="26" t="s">
        <v>57</v>
      </c>
      <c r="C150" s="26" t="s">
        <v>15</v>
      </c>
      <c r="D150" s="14" t="s">
        <v>90</v>
      </c>
      <c r="E150" s="26" t="s">
        <v>54</v>
      </c>
      <c r="F150" s="41">
        <v>45</v>
      </c>
      <c r="G150" s="14"/>
    </row>
    <row r="151" spans="1:7" x14ac:dyDescent="0.25">
      <c r="A151" s="38">
        <v>45910</v>
      </c>
      <c r="B151" s="28" t="s">
        <v>57</v>
      </c>
      <c r="C151" s="28" t="s">
        <v>17</v>
      </c>
      <c r="D151" s="19" t="s">
        <v>92</v>
      </c>
      <c r="E151" s="28" t="s">
        <v>59</v>
      </c>
      <c r="F151" s="39">
        <v>55</v>
      </c>
      <c r="G151" s="19"/>
    </row>
    <row r="152" spans="1:7" x14ac:dyDescent="0.25">
      <c r="A152" s="40">
        <v>45912</v>
      </c>
      <c r="B152" s="26" t="s">
        <v>57</v>
      </c>
      <c r="C152" s="26" t="s">
        <v>19</v>
      </c>
      <c r="D152" s="14" t="s">
        <v>93</v>
      </c>
      <c r="E152" s="26" t="s">
        <v>59</v>
      </c>
      <c r="F152" s="41">
        <v>41</v>
      </c>
      <c r="G152" s="14"/>
    </row>
    <row r="153" spans="1:7" x14ac:dyDescent="0.25">
      <c r="A153" s="38">
        <v>45913</v>
      </c>
      <c r="B153" s="28" t="s">
        <v>57</v>
      </c>
      <c r="C153" s="28" t="s">
        <v>16</v>
      </c>
      <c r="D153" s="19" t="s">
        <v>94</v>
      </c>
      <c r="E153" s="28" t="s">
        <v>59</v>
      </c>
      <c r="F153" s="39">
        <v>76</v>
      </c>
      <c r="G153" s="19"/>
    </row>
    <row r="154" spans="1:7" x14ac:dyDescent="0.25">
      <c r="A154" s="40">
        <v>45915</v>
      </c>
      <c r="B154" s="26" t="s">
        <v>57</v>
      </c>
      <c r="C154" s="26" t="s">
        <v>18</v>
      </c>
      <c r="D154" s="14" t="s">
        <v>95</v>
      </c>
      <c r="E154" s="26" t="s">
        <v>54</v>
      </c>
      <c r="F154" s="41">
        <v>42</v>
      </c>
      <c r="G154" s="14"/>
    </row>
    <row r="155" spans="1:7" x14ac:dyDescent="0.25">
      <c r="A155" s="38">
        <v>45917</v>
      </c>
      <c r="B155" s="28" t="s">
        <v>57</v>
      </c>
      <c r="C155" s="28" t="s">
        <v>18</v>
      </c>
      <c r="D155" s="19" t="s">
        <v>104</v>
      </c>
      <c r="E155" s="28" t="s">
        <v>65</v>
      </c>
      <c r="F155" s="39">
        <v>20</v>
      </c>
      <c r="G155" s="19"/>
    </row>
    <row r="156" spans="1:7" x14ac:dyDescent="0.25">
      <c r="A156" s="40">
        <v>45919</v>
      </c>
      <c r="B156" s="26" t="s">
        <v>57</v>
      </c>
      <c r="C156" s="26" t="s">
        <v>20</v>
      </c>
      <c r="D156" s="14" t="s">
        <v>96</v>
      </c>
      <c r="E156" s="26" t="s">
        <v>59</v>
      </c>
      <c r="F156" s="41">
        <v>83</v>
      </c>
      <c r="G156" s="14"/>
    </row>
    <row r="157" spans="1:7" x14ac:dyDescent="0.25">
      <c r="A157" s="38">
        <v>45920</v>
      </c>
      <c r="B157" s="28" t="s">
        <v>57</v>
      </c>
      <c r="C157" s="28" t="s">
        <v>16</v>
      </c>
      <c r="D157" s="19" t="s">
        <v>97</v>
      </c>
      <c r="E157" s="28" t="s">
        <v>59</v>
      </c>
      <c r="F157" s="39">
        <v>62</v>
      </c>
      <c r="G157" s="19"/>
    </row>
    <row r="158" spans="1:7" x14ac:dyDescent="0.25">
      <c r="A158" s="40">
        <v>45921</v>
      </c>
      <c r="B158" s="26" t="s">
        <v>57</v>
      </c>
      <c r="C158" s="26" t="s">
        <v>21</v>
      </c>
      <c r="D158" s="14" t="s">
        <v>98</v>
      </c>
      <c r="E158" s="26" t="s">
        <v>59</v>
      </c>
      <c r="F158" s="41">
        <v>20</v>
      </c>
      <c r="G158" s="14"/>
    </row>
    <row r="159" spans="1:7" x14ac:dyDescent="0.25">
      <c r="A159" s="38">
        <v>45921</v>
      </c>
      <c r="B159" s="28" t="s">
        <v>57</v>
      </c>
      <c r="C159" s="28" t="s">
        <v>21</v>
      </c>
      <c r="D159" s="19" t="s">
        <v>99</v>
      </c>
      <c r="E159" s="28" t="s">
        <v>54</v>
      </c>
      <c r="F159" s="39">
        <v>30</v>
      </c>
      <c r="G159" s="19"/>
    </row>
    <row r="160" spans="1:7" x14ac:dyDescent="0.25">
      <c r="A160" s="40">
        <v>45922</v>
      </c>
      <c r="B160" s="26" t="s">
        <v>57</v>
      </c>
      <c r="C160" s="26" t="s">
        <v>19</v>
      </c>
      <c r="D160" s="14" t="s">
        <v>100</v>
      </c>
      <c r="E160" s="26" t="s">
        <v>59</v>
      </c>
      <c r="F160" s="41">
        <v>23</v>
      </c>
      <c r="G160" s="14"/>
    </row>
    <row r="161" spans="1:7" x14ac:dyDescent="0.25">
      <c r="A161" s="38">
        <v>45925</v>
      </c>
      <c r="B161" s="28" t="s">
        <v>57</v>
      </c>
      <c r="C161" s="28" t="s">
        <v>22</v>
      </c>
      <c r="D161" s="19" t="s">
        <v>101</v>
      </c>
      <c r="E161" s="28" t="s">
        <v>62</v>
      </c>
      <c r="F161" s="39">
        <v>400</v>
      </c>
      <c r="G161" s="19"/>
    </row>
    <row r="162" spans="1:7" x14ac:dyDescent="0.25">
      <c r="A162" s="40">
        <v>45927</v>
      </c>
      <c r="B162" s="26" t="s">
        <v>57</v>
      </c>
      <c r="C162" s="26" t="s">
        <v>16</v>
      </c>
      <c r="D162" s="14" t="s">
        <v>102</v>
      </c>
      <c r="E162" s="26" t="s">
        <v>59</v>
      </c>
      <c r="F162" s="41">
        <v>65</v>
      </c>
      <c r="G162" s="14"/>
    </row>
    <row r="163" spans="1:7" x14ac:dyDescent="0.25">
      <c r="A163" s="38">
        <v>45931</v>
      </c>
      <c r="B163" s="28" t="s">
        <v>52</v>
      </c>
      <c r="C163" s="28" t="s">
        <v>53</v>
      </c>
      <c r="D163" s="19" t="s">
        <v>86</v>
      </c>
      <c r="E163" s="28" t="s">
        <v>62</v>
      </c>
      <c r="F163" s="39">
        <v>2300</v>
      </c>
      <c r="G163" s="19"/>
    </row>
    <row r="164" spans="1:7" x14ac:dyDescent="0.25">
      <c r="A164" s="40">
        <v>45933</v>
      </c>
      <c r="B164" s="26" t="s">
        <v>57</v>
      </c>
      <c r="C164" s="26" t="s">
        <v>14</v>
      </c>
      <c r="D164" s="14" t="s">
        <v>87</v>
      </c>
      <c r="E164" s="26" t="s">
        <v>62</v>
      </c>
      <c r="F164" s="41">
        <v>720</v>
      </c>
      <c r="G164" s="14"/>
    </row>
    <row r="165" spans="1:7" x14ac:dyDescent="0.25">
      <c r="A165" s="38">
        <v>45935</v>
      </c>
      <c r="B165" s="28" t="s">
        <v>57</v>
      </c>
      <c r="C165" s="28" t="s">
        <v>15</v>
      </c>
      <c r="D165" s="19" t="s">
        <v>88</v>
      </c>
      <c r="E165" s="28" t="s">
        <v>54</v>
      </c>
      <c r="F165" s="39">
        <v>83</v>
      </c>
      <c r="G165" s="19"/>
    </row>
    <row r="166" spans="1:7" x14ac:dyDescent="0.25">
      <c r="A166" s="40">
        <v>45936</v>
      </c>
      <c r="B166" s="26" t="s">
        <v>57</v>
      </c>
      <c r="C166" s="26" t="s">
        <v>16</v>
      </c>
      <c r="D166" s="14" t="s">
        <v>94</v>
      </c>
      <c r="E166" s="26" t="s">
        <v>59</v>
      </c>
      <c r="F166" s="41">
        <v>67</v>
      </c>
      <c r="G166" s="14"/>
    </row>
    <row r="167" spans="1:7" x14ac:dyDescent="0.25">
      <c r="A167" s="38">
        <v>45938</v>
      </c>
      <c r="B167" s="28" t="s">
        <v>57</v>
      </c>
      <c r="C167" s="28" t="s">
        <v>15</v>
      </c>
      <c r="D167" s="19" t="s">
        <v>90</v>
      </c>
      <c r="E167" s="28" t="s">
        <v>54</v>
      </c>
      <c r="F167" s="39">
        <v>45</v>
      </c>
      <c r="G167" s="19"/>
    </row>
    <row r="168" spans="1:7" x14ac:dyDescent="0.25">
      <c r="A168" s="40">
        <v>45940</v>
      </c>
      <c r="B168" s="26" t="s">
        <v>57</v>
      </c>
      <c r="C168" s="26" t="s">
        <v>17</v>
      </c>
      <c r="D168" s="14" t="s">
        <v>92</v>
      </c>
      <c r="E168" s="26" t="s">
        <v>59</v>
      </c>
      <c r="F168" s="41">
        <v>55</v>
      </c>
      <c r="G168" s="14"/>
    </row>
    <row r="169" spans="1:7" x14ac:dyDescent="0.25">
      <c r="A169" s="38">
        <v>45942</v>
      </c>
      <c r="B169" s="28" t="s">
        <v>57</v>
      </c>
      <c r="C169" s="28" t="s">
        <v>19</v>
      </c>
      <c r="D169" s="19" t="s">
        <v>93</v>
      </c>
      <c r="E169" s="28" t="s">
        <v>59</v>
      </c>
      <c r="F169" s="39">
        <v>52</v>
      </c>
      <c r="G169" s="19"/>
    </row>
    <row r="170" spans="1:7" x14ac:dyDescent="0.25">
      <c r="A170" s="40">
        <v>45943</v>
      </c>
      <c r="B170" s="26" t="s">
        <v>57</v>
      </c>
      <c r="C170" s="26" t="s">
        <v>16</v>
      </c>
      <c r="D170" s="14" t="s">
        <v>97</v>
      </c>
      <c r="E170" s="26" t="s">
        <v>59</v>
      </c>
      <c r="F170" s="41">
        <v>89</v>
      </c>
      <c r="G170" s="14"/>
    </row>
    <row r="171" spans="1:7" x14ac:dyDescent="0.25">
      <c r="A171" s="38">
        <v>45945</v>
      </c>
      <c r="B171" s="28" t="s">
        <v>57</v>
      </c>
      <c r="C171" s="28" t="s">
        <v>18</v>
      </c>
      <c r="D171" s="19" t="s">
        <v>95</v>
      </c>
      <c r="E171" s="28" t="s">
        <v>54</v>
      </c>
      <c r="F171" s="39">
        <v>42</v>
      </c>
      <c r="G171" s="19"/>
    </row>
    <row r="172" spans="1:7" x14ac:dyDescent="0.25">
      <c r="A172" s="40">
        <v>45946</v>
      </c>
      <c r="B172" s="26" t="s">
        <v>52</v>
      </c>
      <c r="C172" s="26" t="s">
        <v>58</v>
      </c>
      <c r="D172" s="14" t="s">
        <v>112</v>
      </c>
      <c r="E172" s="26" t="s">
        <v>62</v>
      </c>
      <c r="F172" s="41">
        <v>150</v>
      </c>
      <c r="G172" s="14"/>
    </row>
    <row r="173" spans="1:7" x14ac:dyDescent="0.25">
      <c r="A173" s="38">
        <v>45948</v>
      </c>
      <c r="B173" s="28" t="s">
        <v>57</v>
      </c>
      <c r="C173" s="28" t="s">
        <v>17</v>
      </c>
      <c r="D173" s="19" t="s">
        <v>103</v>
      </c>
      <c r="E173" s="28" t="s">
        <v>59</v>
      </c>
      <c r="F173" s="39">
        <v>47</v>
      </c>
      <c r="G173" s="19"/>
    </row>
    <row r="174" spans="1:7" x14ac:dyDescent="0.25">
      <c r="A174" s="40">
        <v>45949</v>
      </c>
      <c r="B174" s="26" t="s">
        <v>57</v>
      </c>
      <c r="C174" s="26" t="s">
        <v>20</v>
      </c>
      <c r="D174" s="14" t="s">
        <v>96</v>
      </c>
      <c r="E174" s="26" t="s">
        <v>59</v>
      </c>
      <c r="F174" s="41">
        <v>71</v>
      </c>
      <c r="G174" s="14"/>
    </row>
    <row r="175" spans="1:7" x14ac:dyDescent="0.25">
      <c r="A175" s="38">
        <v>45950</v>
      </c>
      <c r="B175" s="28" t="s">
        <v>57</v>
      </c>
      <c r="C175" s="28" t="s">
        <v>16</v>
      </c>
      <c r="D175" s="19" t="s">
        <v>102</v>
      </c>
      <c r="E175" s="28" t="s">
        <v>59</v>
      </c>
      <c r="F175" s="39">
        <v>84</v>
      </c>
      <c r="G175" s="19"/>
    </row>
    <row r="176" spans="1:7" x14ac:dyDescent="0.25">
      <c r="A176" s="40">
        <v>45951</v>
      </c>
      <c r="B176" s="26" t="s">
        <v>57</v>
      </c>
      <c r="C176" s="26" t="s">
        <v>21</v>
      </c>
      <c r="D176" s="14" t="s">
        <v>98</v>
      </c>
      <c r="E176" s="26" t="s">
        <v>59</v>
      </c>
      <c r="F176" s="41">
        <v>20</v>
      </c>
      <c r="G176" s="14"/>
    </row>
    <row r="177" spans="1:7" x14ac:dyDescent="0.25">
      <c r="A177" s="38">
        <v>45951</v>
      </c>
      <c r="B177" s="28" t="s">
        <v>57</v>
      </c>
      <c r="C177" s="28" t="s">
        <v>21</v>
      </c>
      <c r="D177" s="19" t="s">
        <v>99</v>
      </c>
      <c r="E177" s="28" t="s">
        <v>54</v>
      </c>
      <c r="F177" s="39">
        <v>30</v>
      </c>
      <c r="G177" s="19"/>
    </row>
    <row r="178" spans="1:7" x14ac:dyDescent="0.25">
      <c r="A178" s="40">
        <v>45952</v>
      </c>
      <c r="B178" s="26" t="s">
        <v>57</v>
      </c>
      <c r="C178" s="26" t="s">
        <v>19</v>
      </c>
      <c r="D178" s="14" t="s">
        <v>100</v>
      </c>
      <c r="E178" s="26" t="s">
        <v>59</v>
      </c>
      <c r="F178" s="41">
        <v>35</v>
      </c>
      <c r="G178" s="14"/>
    </row>
    <row r="179" spans="1:7" x14ac:dyDescent="0.25">
      <c r="A179" s="38">
        <v>45955</v>
      </c>
      <c r="B179" s="28" t="s">
        <v>57</v>
      </c>
      <c r="C179" s="28" t="s">
        <v>22</v>
      </c>
      <c r="D179" s="19" t="s">
        <v>101</v>
      </c>
      <c r="E179" s="28" t="s">
        <v>62</v>
      </c>
      <c r="F179" s="39">
        <v>400</v>
      </c>
      <c r="G179" s="19"/>
    </row>
    <row r="180" spans="1:7" x14ac:dyDescent="0.25">
      <c r="A180" s="40">
        <v>45957</v>
      </c>
      <c r="B180" s="26" t="s">
        <v>57</v>
      </c>
      <c r="C180" s="26" t="s">
        <v>16</v>
      </c>
      <c r="D180" s="14" t="s">
        <v>89</v>
      </c>
      <c r="E180" s="26" t="s">
        <v>59</v>
      </c>
      <c r="F180" s="41">
        <v>60</v>
      </c>
      <c r="G180" s="14"/>
    </row>
    <row r="181" spans="1:7" x14ac:dyDescent="0.25">
      <c r="A181" s="38">
        <v>45962</v>
      </c>
      <c r="B181" s="28" t="s">
        <v>52</v>
      </c>
      <c r="C181" s="28" t="s">
        <v>53</v>
      </c>
      <c r="D181" s="19" t="s">
        <v>86</v>
      </c>
      <c r="E181" s="28" t="s">
        <v>62</v>
      </c>
      <c r="F181" s="39">
        <v>2300</v>
      </c>
      <c r="G181" s="19"/>
    </row>
    <row r="182" spans="1:7" x14ac:dyDescent="0.25">
      <c r="A182" s="40">
        <v>45964</v>
      </c>
      <c r="B182" s="26" t="s">
        <v>57</v>
      </c>
      <c r="C182" s="26" t="s">
        <v>14</v>
      </c>
      <c r="D182" s="14" t="s">
        <v>87</v>
      </c>
      <c r="E182" s="26" t="s">
        <v>62</v>
      </c>
      <c r="F182" s="41">
        <v>720</v>
      </c>
      <c r="G182" s="14"/>
    </row>
    <row r="183" spans="1:7" x14ac:dyDescent="0.25">
      <c r="A183" s="38">
        <v>45966</v>
      </c>
      <c r="B183" s="28" t="s">
        <v>57</v>
      </c>
      <c r="C183" s="28" t="s">
        <v>15</v>
      </c>
      <c r="D183" s="19" t="s">
        <v>88</v>
      </c>
      <c r="E183" s="28" t="s">
        <v>54</v>
      </c>
      <c r="F183" s="39">
        <v>96</v>
      </c>
      <c r="G183" s="19"/>
    </row>
    <row r="184" spans="1:7" x14ac:dyDescent="0.25">
      <c r="A184" s="40">
        <v>45967</v>
      </c>
      <c r="B184" s="26" t="s">
        <v>57</v>
      </c>
      <c r="C184" s="26" t="s">
        <v>16</v>
      </c>
      <c r="D184" s="14" t="s">
        <v>97</v>
      </c>
      <c r="E184" s="26" t="s">
        <v>59</v>
      </c>
      <c r="F184" s="41">
        <v>79</v>
      </c>
      <c r="G184" s="14"/>
    </row>
    <row r="185" spans="1:7" x14ac:dyDescent="0.25">
      <c r="A185" s="38">
        <v>45969</v>
      </c>
      <c r="B185" s="28" t="s">
        <v>57</v>
      </c>
      <c r="C185" s="28" t="s">
        <v>15</v>
      </c>
      <c r="D185" s="19" t="s">
        <v>90</v>
      </c>
      <c r="E185" s="28" t="s">
        <v>54</v>
      </c>
      <c r="F185" s="39">
        <v>45</v>
      </c>
      <c r="G185" s="19"/>
    </row>
    <row r="186" spans="1:7" x14ac:dyDescent="0.25">
      <c r="A186" s="40">
        <v>45971</v>
      </c>
      <c r="B186" s="26" t="s">
        <v>57</v>
      </c>
      <c r="C186" s="26" t="s">
        <v>17</v>
      </c>
      <c r="D186" s="14" t="s">
        <v>92</v>
      </c>
      <c r="E186" s="26" t="s">
        <v>59</v>
      </c>
      <c r="F186" s="41">
        <v>55</v>
      </c>
      <c r="G186" s="14"/>
    </row>
    <row r="187" spans="1:7" x14ac:dyDescent="0.25">
      <c r="A187" s="38">
        <v>45973</v>
      </c>
      <c r="B187" s="28" t="s">
        <v>57</v>
      </c>
      <c r="C187" s="28" t="s">
        <v>19</v>
      </c>
      <c r="D187" s="19" t="s">
        <v>93</v>
      </c>
      <c r="E187" s="28" t="s">
        <v>59</v>
      </c>
      <c r="F187" s="39">
        <v>30</v>
      </c>
      <c r="G187" s="19"/>
    </row>
    <row r="188" spans="1:7" x14ac:dyDescent="0.25">
      <c r="A188" s="40">
        <v>45974</v>
      </c>
      <c r="B188" s="26" t="s">
        <v>57</v>
      </c>
      <c r="C188" s="26" t="s">
        <v>16</v>
      </c>
      <c r="D188" s="14" t="s">
        <v>102</v>
      </c>
      <c r="E188" s="26" t="s">
        <v>59</v>
      </c>
      <c r="F188" s="41">
        <v>80</v>
      </c>
      <c r="G188" s="14"/>
    </row>
    <row r="189" spans="1:7" x14ac:dyDescent="0.25">
      <c r="A189" s="38">
        <v>45976</v>
      </c>
      <c r="B189" s="28" t="s">
        <v>57</v>
      </c>
      <c r="C189" s="28" t="s">
        <v>18</v>
      </c>
      <c r="D189" s="19" t="s">
        <v>95</v>
      </c>
      <c r="E189" s="28" t="s">
        <v>54</v>
      </c>
      <c r="F189" s="39">
        <v>42</v>
      </c>
      <c r="G189" s="19"/>
    </row>
    <row r="190" spans="1:7" x14ac:dyDescent="0.25">
      <c r="A190" s="40">
        <v>45980</v>
      </c>
      <c r="B190" s="26" t="s">
        <v>57</v>
      </c>
      <c r="C190" s="26" t="s">
        <v>20</v>
      </c>
      <c r="D190" s="14" t="s">
        <v>96</v>
      </c>
      <c r="E190" s="26" t="s">
        <v>59</v>
      </c>
      <c r="F190" s="41">
        <v>95</v>
      </c>
      <c r="G190" s="14"/>
    </row>
    <row r="191" spans="1:7" x14ac:dyDescent="0.25">
      <c r="A191" s="38">
        <v>45981</v>
      </c>
      <c r="B191" s="28" t="s">
        <v>57</v>
      </c>
      <c r="C191" s="28" t="s">
        <v>16</v>
      </c>
      <c r="D191" s="19" t="s">
        <v>89</v>
      </c>
      <c r="E191" s="28" t="s">
        <v>59</v>
      </c>
      <c r="F191" s="39">
        <v>89</v>
      </c>
      <c r="G191" s="19"/>
    </row>
    <row r="192" spans="1:7" x14ac:dyDescent="0.25">
      <c r="A192" s="40">
        <v>45982</v>
      </c>
      <c r="B192" s="26" t="s">
        <v>57</v>
      </c>
      <c r="C192" s="26" t="s">
        <v>21</v>
      </c>
      <c r="D192" s="14" t="s">
        <v>98</v>
      </c>
      <c r="E192" s="26" t="s">
        <v>59</v>
      </c>
      <c r="F192" s="41">
        <v>20</v>
      </c>
      <c r="G192" s="14"/>
    </row>
    <row r="193" spans="1:7" x14ac:dyDescent="0.25">
      <c r="A193" s="38">
        <v>45982</v>
      </c>
      <c r="B193" s="28" t="s">
        <v>57</v>
      </c>
      <c r="C193" s="28" t="s">
        <v>21</v>
      </c>
      <c r="D193" s="19" t="s">
        <v>99</v>
      </c>
      <c r="E193" s="28" t="s">
        <v>54</v>
      </c>
      <c r="F193" s="39">
        <v>30</v>
      </c>
      <c r="G193" s="19"/>
    </row>
    <row r="194" spans="1:7" x14ac:dyDescent="0.25">
      <c r="A194" s="40">
        <v>45983</v>
      </c>
      <c r="B194" s="26" t="s">
        <v>57</v>
      </c>
      <c r="C194" s="26" t="s">
        <v>19</v>
      </c>
      <c r="D194" s="14" t="s">
        <v>100</v>
      </c>
      <c r="E194" s="26" t="s">
        <v>59</v>
      </c>
      <c r="F194" s="41">
        <v>20</v>
      </c>
      <c r="G194" s="14"/>
    </row>
    <row r="195" spans="1:7" x14ac:dyDescent="0.25">
      <c r="A195" s="38">
        <v>45986</v>
      </c>
      <c r="B195" s="28" t="s">
        <v>57</v>
      </c>
      <c r="C195" s="28" t="s">
        <v>22</v>
      </c>
      <c r="D195" s="19" t="s">
        <v>101</v>
      </c>
      <c r="E195" s="28" t="s">
        <v>62</v>
      </c>
      <c r="F195" s="39">
        <v>400</v>
      </c>
      <c r="G195" s="19"/>
    </row>
    <row r="196" spans="1:7" x14ac:dyDescent="0.25">
      <c r="A196" s="40">
        <v>45988</v>
      </c>
      <c r="B196" s="26" t="s">
        <v>57</v>
      </c>
      <c r="C196" s="26" t="s">
        <v>16</v>
      </c>
      <c r="D196" s="14" t="s">
        <v>94</v>
      </c>
      <c r="E196" s="26" t="s">
        <v>59</v>
      </c>
      <c r="F196" s="41">
        <v>87</v>
      </c>
      <c r="G196" s="14"/>
    </row>
    <row r="197" spans="1:7" x14ac:dyDescent="0.25">
      <c r="A197" s="38">
        <v>45992</v>
      </c>
      <c r="B197" s="28" t="s">
        <v>52</v>
      </c>
      <c r="C197" s="28" t="s">
        <v>53</v>
      </c>
      <c r="D197" s="19" t="s">
        <v>86</v>
      </c>
      <c r="E197" s="28" t="s">
        <v>62</v>
      </c>
      <c r="F197" s="39">
        <v>2300</v>
      </c>
      <c r="G197" s="19"/>
    </row>
    <row r="198" spans="1:7" x14ac:dyDescent="0.25">
      <c r="A198" s="40">
        <v>45992</v>
      </c>
      <c r="B198" s="26" t="s">
        <v>52</v>
      </c>
      <c r="C198" s="26" t="s">
        <v>58</v>
      </c>
      <c r="D198" s="14" t="s">
        <v>107</v>
      </c>
      <c r="E198" s="26" t="s">
        <v>62</v>
      </c>
      <c r="F198" s="41">
        <v>1150</v>
      </c>
      <c r="G198" s="14"/>
    </row>
    <row r="199" spans="1:7" x14ac:dyDescent="0.25">
      <c r="A199" s="38">
        <v>45994</v>
      </c>
      <c r="B199" s="28" t="s">
        <v>57</v>
      </c>
      <c r="C199" s="28" t="s">
        <v>14</v>
      </c>
      <c r="D199" s="19" t="s">
        <v>87</v>
      </c>
      <c r="E199" s="28" t="s">
        <v>62</v>
      </c>
      <c r="F199" s="39">
        <v>720</v>
      </c>
      <c r="G199" s="19"/>
    </row>
    <row r="200" spans="1:7" x14ac:dyDescent="0.25">
      <c r="A200" s="40">
        <v>45996</v>
      </c>
      <c r="B200" s="26" t="s">
        <v>57</v>
      </c>
      <c r="C200" s="26" t="s">
        <v>15</v>
      </c>
      <c r="D200" s="14" t="s">
        <v>88</v>
      </c>
      <c r="E200" s="26" t="s">
        <v>54</v>
      </c>
      <c r="F200" s="41">
        <v>112</v>
      </c>
      <c r="G200" s="14"/>
    </row>
    <row r="201" spans="1:7" x14ac:dyDescent="0.25">
      <c r="A201" s="38">
        <v>45997</v>
      </c>
      <c r="B201" s="28" t="s">
        <v>57</v>
      </c>
      <c r="C201" s="28" t="s">
        <v>16</v>
      </c>
      <c r="D201" s="19" t="s">
        <v>102</v>
      </c>
      <c r="E201" s="28" t="s">
        <v>59</v>
      </c>
      <c r="F201" s="39">
        <v>88</v>
      </c>
      <c r="G201" s="19"/>
    </row>
    <row r="202" spans="1:7" x14ac:dyDescent="0.25">
      <c r="A202" s="40">
        <v>45999</v>
      </c>
      <c r="B202" s="26" t="s">
        <v>57</v>
      </c>
      <c r="C202" s="26" t="s">
        <v>15</v>
      </c>
      <c r="D202" s="14" t="s">
        <v>90</v>
      </c>
      <c r="E202" s="26" t="s">
        <v>54</v>
      </c>
      <c r="F202" s="41">
        <v>45</v>
      </c>
      <c r="G202" s="14"/>
    </row>
    <row r="203" spans="1:7" x14ac:dyDescent="0.25">
      <c r="A203" s="38">
        <v>46001</v>
      </c>
      <c r="B203" s="28" t="s">
        <v>57</v>
      </c>
      <c r="C203" s="28" t="s">
        <v>17</v>
      </c>
      <c r="D203" s="19" t="s">
        <v>92</v>
      </c>
      <c r="E203" s="28" t="s">
        <v>59</v>
      </c>
      <c r="F203" s="39">
        <v>55</v>
      </c>
      <c r="G203" s="19"/>
    </row>
    <row r="204" spans="1:7" x14ac:dyDescent="0.25">
      <c r="A204" s="40">
        <v>46003</v>
      </c>
      <c r="B204" s="26" t="s">
        <v>57</v>
      </c>
      <c r="C204" s="26" t="s">
        <v>19</v>
      </c>
      <c r="D204" s="14" t="s">
        <v>93</v>
      </c>
      <c r="E204" s="26" t="s">
        <v>59</v>
      </c>
      <c r="F204" s="41">
        <v>46</v>
      </c>
      <c r="G204" s="14"/>
    </row>
    <row r="205" spans="1:7" x14ac:dyDescent="0.25">
      <c r="A205" s="38">
        <v>46004</v>
      </c>
      <c r="B205" s="28" t="s">
        <v>57</v>
      </c>
      <c r="C205" s="28" t="s">
        <v>16</v>
      </c>
      <c r="D205" s="19" t="s">
        <v>89</v>
      </c>
      <c r="E205" s="28" t="s">
        <v>59</v>
      </c>
      <c r="F205" s="39">
        <v>62</v>
      </c>
      <c r="G205" s="19"/>
    </row>
    <row r="206" spans="1:7" x14ac:dyDescent="0.25">
      <c r="A206" s="40">
        <v>46005</v>
      </c>
      <c r="B206" s="26" t="s">
        <v>57</v>
      </c>
      <c r="C206" s="26" t="s">
        <v>20</v>
      </c>
      <c r="D206" s="14" t="s">
        <v>113</v>
      </c>
      <c r="E206" s="26" t="s">
        <v>59</v>
      </c>
      <c r="F206" s="41">
        <v>210</v>
      </c>
      <c r="G206" s="14"/>
    </row>
    <row r="207" spans="1:7" x14ac:dyDescent="0.25">
      <c r="A207" s="38">
        <v>46006</v>
      </c>
      <c r="B207" s="28" t="s">
        <v>57</v>
      </c>
      <c r="C207" s="28" t="s">
        <v>18</v>
      </c>
      <c r="D207" s="19" t="s">
        <v>95</v>
      </c>
      <c r="E207" s="28" t="s">
        <v>54</v>
      </c>
      <c r="F207" s="39">
        <v>42</v>
      </c>
      <c r="G207" s="19"/>
    </row>
    <row r="208" spans="1:7" x14ac:dyDescent="0.25">
      <c r="A208" s="40">
        <v>46009</v>
      </c>
      <c r="B208" s="26" t="s">
        <v>57</v>
      </c>
      <c r="C208" s="26" t="s">
        <v>17</v>
      </c>
      <c r="D208" s="14" t="s">
        <v>103</v>
      </c>
      <c r="E208" s="26" t="s">
        <v>59</v>
      </c>
      <c r="F208" s="41">
        <v>65</v>
      </c>
      <c r="G208" s="14"/>
    </row>
    <row r="209" spans="1:7" x14ac:dyDescent="0.25">
      <c r="A209" s="38">
        <v>46010</v>
      </c>
      <c r="B209" s="28" t="s">
        <v>57</v>
      </c>
      <c r="C209" s="28" t="s">
        <v>20</v>
      </c>
      <c r="D209" s="19" t="s">
        <v>96</v>
      </c>
      <c r="E209" s="28" t="s">
        <v>59</v>
      </c>
      <c r="F209" s="39">
        <v>87</v>
      </c>
      <c r="G209" s="19"/>
    </row>
    <row r="210" spans="1:7" x14ac:dyDescent="0.25">
      <c r="A210" s="40">
        <v>46011</v>
      </c>
      <c r="B210" s="26" t="s">
        <v>57</v>
      </c>
      <c r="C210" s="26" t="s">
        <v>16</v>
      </c>
      <c r="D210" s="14" t="s">
        <v>94</v>
      </c>
      <c r="E210" s="26" t="s">
        <v>59</v>
      </c>
      <c r="F210" s="41">
        <v>61</v>
      </c>
      <c r="G210" s="14"/>
    </row>
    <row r="211" spans="1:7" x14ac:dyDescent="0.25">
      <c r="A211" s="38">
        <v>46011</v>
      </c>
      <c r="B211" s="28" t="s">
        <v>57</v>
      </c>
      <c r="C211" s="28" t="s">
        <v>19</v>
      </c>
      <c r="D211" s="19" t="s">
        <v>114</v>
      </c>
      <c r="E211" s="28" t="s">
        <v>59</v>
      </c>
      <c r="F211" s="39">
        <v>55</v>
      </c>
      <c r="G211" s="19"/>
    </row>
    <row r="212" spans="1:7" x14ac:dyDescent="0.25">
      <c r="A212" s="40">
        <v>46012</v>
      </c>
      <c r="B212" s="26" t="s">
        <v>57</v>
      </c>
      <c r="C212" s="26" t="s">
        <v>21</v>
      </c>
      <c r="D212" s="14" t="s">
        <v>98</v>
      </c>
      <c r="E212" s="26" t="s">
        <v>59</v>
      </c>
      <c r="F212" s="41">
        <v>20</v>
      </c>
      <c r="G212" s="14"/>
    </row>
    <row r="213" spans="1:7" x14ac:dyDescent="0.25">
      <c r="A213" s="38">
        <v>46012</v>
      </c>
      <c r="B213" s="28" t="s">
        <v>57</v>
      </c>
      <c r="C213" s="28" t="s">
        <v>21</v>
      </c>
      <c r="D213" s="19" t="s">
        <v>99</v>
      </c>
      <c r="E213" s="28" t="s">
        <v>54</v>
      </c>
      <c r="F213" s="39">
        <v>30</v>
      </c>
      <c r="G213" s="19"/>
    </row>
    <row r="214" spans="1:7" x14ac:dyDescent="0.25">
      <c r="A214" s="40">
        <v>46013</v>
      </c>
      <c r="B214" s="26" t="s">
        <v>57</v>
      </c>
      <c r="C214" s="26" t="s">
        <v>19</v>
      </c>
      <c r="D214" s="14" t="s">
        <v>100</v>
      </c>
      <c r="E214" s="26" t="s">
        <v>59</v>
      </c>
      <c r="F214" s="41">
        <v>39</v>
      </c>
      <c r="G214" s="14"/>
    </row>
    <row r="215" spans="1:7" x14ac:dyDescent="0.25">
      <c r="A215" s="38">
        <v>46016</v>
      </c>
      <c r="B215" s="28" t="s">
        <v>57</v>
      </c>
      <c r="C215" s="28" t="s">
        <v>22</v>
      </c>
      <c r="D215" s="19" t="s">
        <v>101</v>
      </c>
      <c r="E215" s="28" t="s">
        <v>62</v>
      </c>
      <c r="F215" s="39">
        <v>450</v>
      </c>
      <c r="G215" s="19"/>
    </row>
    <row r="216" spans="1:7" x14ac:dyDescent="0.25">
      <c r="A216" s="40">
        <v>46018</v>
      </c>
      <c r="B216" s="26" t="s">
        <v>57</v>
      </c>
      <c r="C216" s="26" t="s">
        <v>16</v>
      </c>
      <c r="D216" s="14" t="s">
        <v>97</v>
      </c>
      <c r="E216" s="26" t="s">
        <v>59</v>
      </c>
      <c r="F216" s="41">
        <v>77</v>
      </c>
      <c r="G216" s="14"/>
    </row>
    <row r="217" spans="1:7" x14ac:dyDescent="0.25">
      <c r="A217" s="38">
        <v>46018</v>
      </c>
      <c r="B217" s="28" t="s">
        <v>57</v>
      </c>
      <c r="C217" s="28" t="s">
        <v>23</v>
      </c>
      <c r="D217" s="19" t="s">
        <v>115</v>
      </c>
      <c r="E217" s="28" t="s">
        <v>65</v>
      </c>
      <c r="F217" s="39">
        <v>20</v>
      </c>
      <c r="G217" s="19"/>
    </row>
  </sheetData>
  <autoFilter ref="A4:G217" xr:uid="{00000000-0009-0000-0000-000002000000}"/>
  <mergeCells count="2">
    <mergeCell ref="A1:G1"/>
    <mergeCell ref="A2:G2"/>
  </mergeCells>
  <pageMargins left="0.4" right="0.4" top="0.5" bottom="0.5" header="0.511811023622047" footer="0.511811023622047"/>
  <pageSetup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200-000000000000}">
          <x14:formula1>
            <xm:f>Ajustes!$B$2:$B$3</xm:f>
          </x14:formula1>
          <x14:formula2>
            <xm:f>0</xm:f>
          </x14:formula2>
          <xm:sqref>B5:B277</xm:sqref>
        </x14:dataValidation>
        <x14:dataValidation type="list" xr:uid="{00000000-0002-0000-0200-000001000000}">
          <x14:formula1>
            <xm:f>Ajustes!$E$2:$E$13</xm:f>
          </x14:formula1>
          <x14:formula2>
            <xm:f>0</xm:f>
          </x14:formula2>
          <xm:sqref>C5:C277</xm:sqref>
        </x14:dataValidation>
        <x14:dataValidation type="list" xr:uid="{00000000-0002-0000-0200-000002000000}">
          <x14:formula1>
            <xm:f>Ajustes!$F$2:$F$6</xm:f>
          </x14:formula1>
          <x14:formula2>
            <xm:f>0</xm:f>
          </x14:formula2>
          <xm:sqref>E5:E277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Panel</vt:lpstr>
      <vt:lpstr>Ajustes</vt:lpstr>
      <vt:lpstr>Movimientos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2026-08-24T10:45:21Z</dcterms:created>
  <dcterms:modified xsi:type="dcterms:W3CDTF">2026-08-25T05:28:56Z</dcterms:modified>
  <dc:language>en-US</dc:language>
</cp:coreProperties>
</file>