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Factureo\Generador\"/>
    </mc:Choice>
  </mc:AlternateContent>
  <xr:revisionPtr revIDLastSave="0" documentId="13_ncr:1_{D0F7AE3B-7037-4859-8656-FC46407D187B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Configuración" sheetId="1" r:id="rId1"/>
    <sheet name="Cuadrante" sheetId="2" r:id="rId2"/>
    <sheet name="Resumen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7" i="3" l="1"/>
  <c r="A2" i="3"/>
  <c r="AQ13" i="2"/>
  <c r="J12" i="3" s="1"/>
  <c r="AN13" i="2"/>
  <c r="H12" i="3" s="1"/>
  <c r="AM13" i="2"/>
  <c r="G12" i="3" s="1"/>
  <c r="AL13" i="2"/>
  <c r="F12" i="3" s="1"/>
  <c r="AK13" i="2"/>
  <c r="E12" i="3" s="1"/>
  <c r="AJ13" i="2"/>
  <c r="D12" i="3" s="1"/>
  <c r="AI13" i="2"/>
  <c r="AP13" i="2" s="1"/>
  <c r="C13" i="2"/>
  <c r="B13" i="2"/>
  <c r="A12" i="3" s="1"/>
  <c r="AQ12" i="2"/>
  <c r="J11" i="3" s="1"/>
  <c r="AN12" i="2"/>
  <c r="H11" i="3" s="1"/>
  <c r="AM12" i="2"/>
  <c r="G11" i="3" s="1"/>
  <c r="AL12" i="2"/>
  <c r="F11" i="3" s="1"/>
  <c r="AK12" i="2"/>
  <c r="E11" i="3" s="1"/>
  <c r="AJ12" i="2"/>
  <c r="D11" i="3" s="1"/>
  <c r="AI12" i="2"/>
  <c r="AP12" i="2" s="1"/>
  <c r="C12" i="2"/>
  <c r="B12" i="2"/>
  <c r="A11" i="3" s="1"/>
  <c r="AQ11" i="2"/>
  <c r="J10" i="3" s="1"/>
  <c r="AN11" i="2"/>
  <c r="H10" i="3" s="1"/>
  <c r="AM11" i="2"/>
  <c r="G10" i="3" s="1"/>
  <c r="AL11" i="2"/>
  <c r="F10" i="3" s="1"/>
  <c r="AK11" i="2"/>
  <c r="E10" i="3" s="1"/>
  <c r="AJ11" i="2"/>
  <c r="D10" i="3" s="1"/>
  <c r="AI11" i="2"/>
  <c r="C10" i="3" s="1"/>
  <c r="C11" i="2"/>
  <c r="B11" i="2"/>
  <c r="A10" i="3" s="1"/>
  <c r="AQ10" i="2"/>
  <c r="J9" i="3" s="1"/>
  <c r="AP10" i="2"/>
  <c r="I9" i="3" s="1"/>
  <c r="AO10" i="2"/>
  <c r="B9" i="3" s="1"/>
  <c r="AN10" i="2"/>
  <c r="H9" i="3" s="1"/>
  <c r="AM10" i="2"/>
  <c r="G9" i="3" s="1"/>
  <c r="AL10" i="2"/>
  <c r="F9" i="3" s="1"/>
  <c r="AK10" i="2"/>
  <c r="E9" i="3" s="1"/>
  <c r="AJ10" i="2"/>
  <c r="D9" i="3" s="1"/>
  <c r="AI10" i="2"/>
  <c r="C9" i="3" s="1"/>
  <c r="C10" i="2"/>
  <c r="B10" i="2"/>
  <c r="A9" i="3" s="1"/>
  <c r="AQ9" i="2"/>
  <c r="J8" i="3" s="1"/>
  <c r="AN9" i="2"/>
  <c r="H8" i="3" s="1"/>
  <c r="AM9" i="2"/>
  <c r="G8" i="3" s="1"/>
  <c r="AL9" i="2"/>
  <c r="F8" i="3" s="1"/>
  <c r="AK9" i="2"/>
  <c r="E8" i="3" s="1"/>
  <c r="AJ9" i="2"/>
  <c r="D8" i="3" s="1"/>
  <c r="AI9" i="2"/>
  <c r="C8" i="3" s="1"/>
  <c r="C9" i="2"/>
  <c r="B9" i="2"/>
  <c r="A8" i="3" s="1"/>
  <c r="AQ8" i="2"/>
  <c r="J7" i="3" s="1"/>
  <c r="AN8" i="2"/>
  <c r="H7" i="3" s="1"/>
  <c r="AM8" i="2"/>
  <c r="G7" i="3" s="1"/>
  <c r="AL8" i="2"/>
  <c r="F7" i="3" s="1"/>
  <c r="AK8" i="2"/>
  <c r="E7" i="3" s="1"/>
  <c r="AJ8" i="2"/>
  <c r="D7" i="3" s="1"/>
  <c r="AI8" i="2"/>
  <c r="AP8" i="2" s="1"/>
  <c r="C8" i="2"/>
  <c r="B8" i="2"/>
  <c r="A7" i="3" s="1"/>
  <c r="AQ7" i="2"/>
  <c r="J6" i="3" s="1"/>
  <c r="AN7" i="2"/>
  <c r="H6" i="3" s="1"/>
  <c r="AM7" i="2"/>
  <c r="G6" i="3" s="1"/>
  <c r="AL7" i="2"/>
  <c r="F6" i="3" s="1"/>
  <c r="AK7" i="2"/>
  <c r="E6" i="3" s="1"/>
  <c r="AJ7" i="2"/>
  <c r="D6" i="3" s="1"/>
  <c r="AI7" i="2"/>
  <c r="C6" i="3" s="1"/>
  <c r="C7" i="2"/>
  <c r="B7" i="2"/>
  <c r="A6" i="3" s="1"/>
  <c r="AQ6" i="2"/>
  <c r="J5" i="3" s="1"/>
  <c r="J13" i="3" s="1"/>
  <c r="AP6" i="2"/>
  <c r="AR6" i="2" s="1"/>
  <c r="K5" i="3" s="1"/>
  <c r="AN6" i="2"/>
  <c r="H5" i="3" s="1"/>
  <c r="H13" i="3" s="1"/>
  <c r="AM6" i="2"/>
  <c r="G5" i="3" s="1"/>
  <c r="G13" i="3" s="1"/>
  <c r="AL6" i="2"/>
  <c r="F5" i="3" s="1"/>
  <c r="F13" i="3" s="1"/>
  <c r="AK6" i="2"/>
  <c r="E5" i="3" s="1"/>
  <c r="E13" i="3" s="1"/>
  <c r="AJ6" i="2"/>
  <c r="D5" i="3" s="1"/>
  <c r="D13" i="3" s="1"/>
  <c r="AI6" i="2"/>
  <c r="AO6" i="2" s="1"/>
  <c r="B5" i="3" s="1"/>
  <c r="C6" i="2"/>
  <c r="B6" i="2"/>
  <c r="A5" i="3" s="1"/>
  <c r="AH5" i="2"/>
  <c r="AG5" i="2"/>
  <c r="AF5" i="2"/>
  <c r="AE5" i="2"/>
  <c r="AD5" i="2"/>
  <c r="AC5" i="2"/>
  <c r="Z5" i="2"/>
  <c r="Y5" i="2"/>
  <c r="X5" i="2"/>
  <c r="R5" i="2"/>
  <c r="N5" i="2"/>
  <c r="M5" i="2"/>
  <c r="L5" i="2"/>
  <c r="K5" i="2"/>
  <c r="J5" i="2"/>
  <c r="I5" i="2"/>
  <c r="F5" i="2"/>
  <c r="E5" i="2"/>
  <c r="D5" i="2"/>
  <c r="AH4" i="2"/>
  <c r="AH19" i="2" s="1"/>
  <c r="AG4" i="2"/>
  <c r="AG19" i="2" s="1"/>
  <c r="AF4" i="2"/>
  <c r="AF19" i="2" s="1"/>
  <c r="AE4" i="2"/>
  <c r="AE19" i="2" s="1"/>
  <c r="AD4" i="2"/>
  <c r="AD16" i="2" s="1"/>
  <c r="AC4" i="2"/>
  <c r="AC16" i="2" s="1"/>
  <c r="AB4" i="2"/>
  <c r="AA4" i="2"/>
  <c r="Z4" i="2"/>
  <c r="Y4" i="2"/>
  <c r="X4" i="2"/>
  <c r="W4" i="2"/>
  <c r="V4" i="2"/>
  <c r="V5" i="2" s="1"/>
  <c r="U4" i="2"/>
  <c r="U15" i="2" s="1"/>
  <c r="T4" i="2"/>
  <c r="T15" i="2" s="1"/>
  <c r="S4" i="2"/>
  <c r="S17" i="2" s="1"/>
  <c r="R4" i="2"/>
  <c r="R17" i="2" s="1"/>
  <c r="Q4" i="2"/>
  <c r="Q19" i="2" s="1"/>
  <c r="P4" i="2"/>
  <c r="P19" i="2" s="1"/>
  <c r="O4" i="2"/>
  <c r="O19" i="2" s="1"/>
  <c r="N4" i="2"/>
  <c r="N19" i="2" s="1"/>
  <c r="M4" i="2"/>
  <c r="M19" i="2" s="1"/>
  <c r="L4" i="2"/>
  <c r="L19" i="2" s="1"/>
  <c r="K4" i="2"/>
  <c r="K19" i="2" s="1"/>
  <c r="J4" i="2"/>
  <c r="J16" i="2" s="1"/>
  <c r="I4" i="2"/>
  <c r="I16" i="2" s="1"/>
  <c r="H4" i="2"/>
  <c r="G4" i="2"/>
  <c r="F4" i="2"/>
  <c r="E4" i="2"/>
  <c r="D4" i="2"/>
  <c r="D16" i="3" s="1"/>
  <c r="AR8" i="2" l="1"/>
  <c r="K7" i="3" s="1"/>
  <c r="I7" i="3"/>
  <c r="I11" i="3"/>
  <c r="AR12" i="2"/>
  <c r="K11" i="3" s="1"/>
  <c r="Y18" i="2"/>
  <c r="I12" i="3"/>
  <c r="AR13" i="2"/>
  <c r="K12" i="3" s="1"/>
  <c r="H18" i="2"/>
  <c r="AB18" i="2"/>
  <c r="V15" i="2"/>
  <c r="V18" i="2" s="1"/>
  <c r="K16" i="2"/>
  <c r="AE16" i="2"/>
  <c r="T17" i="2"/>
  <c r="R19" i="2"/>
  <c r="C5" i="3"/>
  <c r="W15" i="2"/>
  <c r="W18" i="2" s="1"/>
  <c r="L16" i="2"/>
  <c r="AF16" i="2"/>
  <c r="U17" i="2"/>
  <c r="S19" i="2"/>
  <c r="D15" i="2"/>
  <c r="D18" i="3" s="1"/>
  <c r="X15" i="2"/>
  <c r="X18" i="2" s="1"/>
  <c r="M16" i="2"/>
  <c r="AG16" i="2"/>
  <c r="V17" i="2"/>
  <c r="T19" i="2"/>
  <c r="C7" i="3"/>
  <c r="E15" i="2"/>
  <c r="Y15" i="2"/>
  <c r="N16" i="2"/>
  <c r="AH16" i="2"/>
  <c r="W17" i="2"/>
  <c r="U19" i="2"/>
  <c r="F15" i="2"/>
  <c r="F18" i="2" s="1"/>
  <c r="Z15" i="2"/>
  <c r="O16" i="2"/>
  <c r="D17" i="2"/>
  <c r="X17" i="2"/>
  <c r="V19" i="2"/>
  <c r="AR10" i="2"/>
  <c r="K9" i="3" s="1"/>
  <c r="G15" i="2"/>
  <c r="AA15" i="2"/>
  <c r="P16" i="2"/>
  <c r="E17" i="2"/>
  <c r="Y17" i="2"/>
  <c r="AH18" i="2"/>
  <c r="W19" i="2"/>
  <c r="AO7" i="2"/>
  <c r="B6" i="3" s="1"/>
  <c r="B13" i="3" s="1"/>
  <c r="AO12" i="2"/>
  <c r="B11" i="3" s="1"/>
  <c r="H15" i="2"/>
  <c r="AB15" i="2"/>
  <c r="Q16" i="2"/>
  <c r="F17" i="2"/>
  <c r="Z17" i="2"/>
  <c r="D19" i="2"/>
  <c r="X19" i="2"/>
  <c r="I5" i="3"/>
  <c r="C11" i="3"/>
  <c r="O5" i="2"/>
  <c r="P5" i="2"/>
  <c r="AP7" i="2"/>
  <c r="I15" i="2"/>
  <c r="I18" i="2" s="1"/>
  <c r="AC15" i="2"/>
  <c r="AC18" i="2" s="1"/>
  <c r="R16" i="2"/>
  <c r="G17" i="2"/>
  <c r="AA17" i="2"/>
  <c r="E19" i="2"/>
  <c r="Y19" i="2"/>
  <c r="J15" i="2"/>
  <c r="J18" i="2" s="1"/>
  <c r="AD15" i="2"/>
  <c r="AD18" i="2" s="1"/>
  <c r="S16" i="2"/>
  <c r="H17" i="2"/>
  <c r="AB17" i="2"/>
  <c r="Q18" i="2"/>
  <c r="F19" i="2"/>
  <c r="Z19" i="2"/>
  <c r="K15" i="2"/>
  <c r="K18" i="2" s="1"/>
  <c r="AE15" i="2"/>
  <c r="AE18" i="2" s="1"/>
  <c r="T16" i="2"/>
  <c r="T18" i="2" s="1"/>
  <c r="I17" i="2"/>
  <c r="AC17" i="2"/>
  <c r="G19" i="2"/>
  <c r="AA19" i="2"/>
  <c r="AO9" i="2"/>
  <c r="B8" i="3" s="1"/>
  <c r="L15" i="2"/>
  <c r="L18" i="2" s="1"/>
  <c r="AF15" i="2"/>
  <c r="AF18" i="2" s="1"/>
  <c r="U16" i="2"/>
  <c r="J17" i="2"/>
  <c r="AD17" i="2"/>
  <c r="H19" i="2"/>
  <c r="AB19" i="2"/>
  <c r="S5" i="2"/>
  <c r="T5" i="2"/>
  <c r="AP9" i="2"/>
  <c r="M15" i="2"/>
  <c r="M18" i="2" s="1"/>
  <c r="AG15" i="2"/>
  <c r="AG18" i="2" s="1"/>
  <c r="V16" i="2"/>
  <c r="K17" i="2"/>
  <c r="AE17" i="2"/>
  <c r="I19" i="2"/>
  <c r="AC19" i="2"/>
  <c r="U5" i="2"/>
  <c r="N15" i="2"/>
  <c r="N18" i="2" s="1"/>
  <c r="AH15" i="2"/>
  <c r="W16" i="2"/>
  <c r="L17" i="2"/>
  <c r="AF17" i="2"/>
  <c r="U18" i="2"/>
  <c r="J19" i="2"/>
  <c r="AD19" i="2"/>
  <c r="O15" i="2"/>
  <c r="O18" i="2" s="1"/>
  <c r="D16" i="2"/>
  <c r="D18" i="2" s="1"/>
  <c r="X16" i="2"/>
  <c r="M17" i="2"/>
  <c r="AG17" i="2"/>
  <c r="Q5" i="2"/>
  <c r="W5" i="2"/>
  <c r="AO11" i="2"/>
  <c r="B10" i="3" s="1"/>
  <c r="P15" i="2"/>
  <c r="E16" i="2"/>
  <c r="E18" i="2" s="1"/>
  <c r="Y16" i="2"/>
  <c r="N17" i="2"/>
  <c r="AH17" i="2"/>
  <c r="AP11" i="2"/>
  <c r="Q15" i="2"/>
  <c r="F16" i="2"/>
  <c r="Z16" i="2"/>
  <c r="Z18" i="2" s="1"/>
  <c r="O17" i="2"/>
  <c r="R15" i="2"/>
  <c r="R18" i="2" s="1"/>
  <c r="G16" i="2"/>
  <c r="G18" i="2" s="1"/>
  <c r="AA16" i="2"/>
  <c r="AA18" i="2" s="1"/>
  <c r="P17" i="2"/>
  <c r="P18" i="2" s="1"/>
  <c r="S15" i="2"/>
  <c r="S18" i="2" s="1"/>
  <c r="H16" i="2"/>
  <c r="AB16" i="2"/>
  <c r="Q17" i="2"/>
  <c r="C12" i="3"/>
  <c r="G5" i="2"/>
  <c r="AA5" i="2"/>
  <c r="AO8" i="2"/>
  <c r="B7" i="3" s="1"/>
  <c r="AO13" i="2"/>
  <c r="B12" i="3" s="1"/>
  <c r="H5" i="2"/>
  <c r="AB5" i="2"/>
  <c r="D19" i="3" l="1"/>
  <c r="I8" i="3"/>
  <c r="AR9" i="2"/>
  <c r="K8" i="3" s="1"/>
  <c r="AR11" i="2"/>
  <c r="K10" i="3" s="1"/>
  <c r="I10" i="3"/>
  <c r="C13" i="3"/>
  <c r="I6" i="3"/>
  <c r="I13" i="3" s="1"/>
  <c r="AR7" i="2"/>
  <c r="K6" i="3" s="1"/>
  <c r="K13" i="3" s="1"/>
</calcChain>
</file>

<file path=xl/sharedStrings.xml><?xml version="1.0" encoding="utf-8"?>
<sst xmlns="http://schemas.openxmlformats.org/spreadsheetml/2006/main" count="358" uniqueCount="85">
  <si>
    <t>Datos de ejemplo. Edita las celdas en azul para adaptarla a tu equipo.</t>
  </si>
  <si>
    <t>1 · DEFINICIÓN DE TURNOS</t>
  </si>
  <si>
    <t>Código</t>
  </si>
  <si>
    <t>Turno</t>
  </si>
  <si>
    <t>Hora inicio</t>
  </si>
  <si>
    <t>Hora fin</t>
  </si>
  <si>
    <t>Horas/turno</t>
  </si>
  <si>
    <t>M</t>
  </si>
  <si>
    <t>Mañana</t>
  </si>
  <si>
    <t>06:00</t>
  </si>
  <si>
    <t>14:00</t>
  </si>
  <si>
    <t>T</t>
  </si>
  <si>
    <t>Tarde</t>
  </si>
  <si>
    <t>22:00</t>
  </si>
  <si>
    <t>N</t>
  </si>
  <si>
    <t>Noche</t>
  </si>
  <si>
    <t>L</t>
  </si>
  <si>
    <t>Libre / Descanso</t>
  </si>
  <si>
    <t>—</t>
  </si>
  <si>
    <t>V</t>
  </si>
  <si>
    <t>Vacaciones</t>
  </si>
  <si>
    <t>B</t>
  </si>
  <si>
    <t>Baja / Ausencia</t>
  </si>
  <si>
    <t>Nota:</t>
  </si>
  <si>
    <t>Las horas del turno de noche cruzan medianoche; introdúcelas a mano.</t>
  </si>
  <si>
    <t>2 · EMPLEADOS</t>
  </si>
  <si>
    <t>ID</t>
  </si>
  <si>
    <t>Nombre</t>
  </si>
  <si>
    <t>Departamento</t>
  </si>
  <si>
    <t>Horas contrato/mes</t>
  </si>
  <si>
    <t>E01</t>
  </si>
  <si>
    <t>Marta Salcedo</t>
  </si>
  <si>
    <t>Operaciones</t>
  </si>
  <si>
    <t>E02</t>
  </si>
  <si>
    <t>Julián Ferrer</t>
  </si>
  <si>
    <t>E03</t>
  </si>
  <si>
    <t>Nadia Bouzid</t>
  </si>
  <si>
    <t>E04</t>
  </si>
  <si>
    <t>Óscar Villar</t>
  </si>
  <si>
    <t>Logística</t>
  </si>
  <si>
    <t>E05</t>
  </si>
  <si>
    <t>Elena Prados</t>
  </si>
  <si>
    <t>E06</t>
  </si>
  <si>
    <t>Rubén Aguado</t>
  </si>
  <si>
    <t>E07</t>
  </si>
  <si>
    <t>Clara Montoya</t>
  </si>
  <si>
    <t>Atención</t>
  </si>
  <si>
    <t>E08</t>
  </si>
  <si>
    <t>Diego Sáez</t>
  </si>
  <si>
    <t>Mes:</t>
  </si>
  <si>
    <t>M = Mañana</t>
  </si>
  <si>
    <t>T = Tarde</t>
  </si>
  <si>
    <t>N = Noche</t>
  </si>
  <si>
    <t>L = Libre</t>
  </si>
  <si>
    <t>V = Vacaciones</t>
  </si>
  <si>
    <t>B = Baja</t>
  </si>
  <si>
    <t>Mín.:</t>
  </si>
  <si>
    <t xml:space="preserve">  Cobertura mínima por turno · las franjas por debajo se marcan en rojo</t>
  </si>
  <si>
    <t>Empleado</t>
  </si>
  <si>
    <t>Depto.</t>
  </si>
  <si>
    <t>Días
trab.</t>
  </si>
  <si>
    <t>Horas
plan.</t>
  </si>
  <si>
    <t>Horas
contr.</t>
  </si>
  <si>
    <t>Desv.</t>
  </si>
  <si>
    <t>Cobertura Mañana (M)</t>
  </si>
  <si>
    <t>Cobertura Tarde (T)</t>
  </si>
  <si>
    <t>Cobertura Noche (N)</t>
  </si>
  <si>
    <t>Total en turno (M+T+N)</t>
  </si>
  <si>
    <t>Libres / ausentes (L+V+B)</t>
  </si>
  <si>
    <t>Consejo: cambia el mes en la celda azul y toda la rejilla, los totales y la cobertura se recalculan solos. Los nombres se toman de la hoja Configuración.</t>
  </si>
  <si>
    <t>NORTIA LOGÍSTICA, S.L.  ·  Resumen mensual</t>
  </si>
  <si>
    <t>Días trab.</t>
  </si>
  <si>
    <t>Libres</t>
  </si>
  <si>
    <t>Vacac.</t>
  </si>
  <si>
    <t>Bajas</t>
  </si>
  <si>
    <t>Horas plan.</t>
  </si>
  <si>
    <t>Horas contr.</t>
  </si>
  <si>
    <t>Desviación</t>
  </si>
  <si>
    <t>TOTAL</t>
  </si>
  <si>
    <t>INDICADORES DE COBERTURA</t>
  </si>
  <si>
    <t>Días planificados en el mes</t>
  </si>
  <si>
    <t>Cobertura mínima exigida por turno</t>
  </si>
  <si>
    <t>Franjas por debajo del mínimo</t>
  </si>
  <si>
    <t>Media de personas por día</t>
  </si>
  <si>
    <t>EJEMPLO, S.L.  ·  Cuadrante de turnos rotativos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</si>
</sst>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mmmm\ yyyy;@"/>
    <numFmt numFmtId="165" formatCode="\+0;\-0;0"/>
    <numFmt numFmtId="166" formatCode="0.0"/>
  </numFmts>
  <fonts count="38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9"/>
      <color rgb="FF595959"/>
      <name val="Arial"/>
      <charset val="1"/>
    </font>
    <font>
      <b/>
      <sz val="11"/>
      <color rgb="FFFFFFFF"/>
      <name val="Arial"/>
      <charset val="1"/>
    </font>
    <font>
      <b/>
      <sz val="10"/>
      <color rgb="FFFFFFFF"/>
      <name val="Arial"/>
      <charset val="1"/>
    </font>
    <font>
      <b/>
      <sz val="10"/>
      <color rgb="FF1F4E79"/>
      <name val="Arial"/>
      <charset val="1"/>
    </font>
    <font>
      <sz val="10"/>
      <color rgb="FF000000"/>
      <name val="Arial"/>
      <charset val="1"/>
    </font>
    <font>
      <sz val="10"/>
      <color rgb="FF0000FF"/>
      <name val="Arial"/>
      <charset val="1"/>
    </font>
    <font>
      <b/>
      <sz val="10"/>
      <color rgb="FF9C4B12"/>
      <name val="Arial"/>
      <charset val="1"/>
    </font>
    <font>
      <b/>
      <sz val="10"/>
      <color rgb="FF375623"/>
      <name val="Arial"/>
      <charset val="1"/>
    </font>
    <font>
      <b/>
      <sz val="10"/>
      <color rgb="FF808080"/>
      <name val="Arial"/>
      <charset val="1"/>
    </font>
    <font>
      <b/>
      <sz val="10"/>
      <color rgb="FF9C6500"/>
      <name val="Arial"/>
      <charset val="1"/>
    </font>
    <font>
      <b/>
      <sz val="10"/>
      <color rgb="FF922B21"/>
      <name val="Arial"/>
      <charset val="1"/>
    </font>
    <font>
      <b/>
      <sz val="8"/>
      <color rgb="FF595959"/>
      <name val="Arial"/>
      <charset val="1"/>
    </font>
    <font>
      <i/>
      <sz val="8"/>
      <color rgb="FF595959"/>
      <name val="Arial"/>
      <charset val="1"/>
    </font>
    <font>
      <b/>
      <sz val="10"/>
      <color rgb="FF0000FF"/>
      <name val="Arial"/>
      <charset val="1"/>
    </font>
    <font>
      <b/>
      <sz val="10"/>
      <color rgb="FF000000"/>
      <name val="Arial"/>
      <charset val="1"/>
    </font>
    <font>
      <b/>
      <sz val="9"/>
      <color rgb="FF1F4E79"/>
      <name val="Arial"/>
      <charset val="1"/>
    </font>
    <font>
      <b/>
      <sz val="9"/>
      <color rgb="FF9C4B12"/>
      <name val="Arial"/>
      <charset val="1"/>
    </font>
    <font>
      <b/>
      <sz val="9"/>
      <color rgb="FF375623"/>
      <name val="Arial"/>
      <charset val="1"/>
    </font>
    <font>
      <b/>
      <sz val="9"/>
      <color rgb="FF808080"/>
      <name val="Arial"/>
      <charset val="1"/>
    </font>
    <font>
      <b/>
      <sz val="9"/>
      <color rgb="FF9C6500"/>
      <name val="Arial"/>
      <charset val="1"/>
    </font>
    <font>
      <b/>
      <sz val="9"/>
      <color rgb="FF922B21"/>
      <name val="Arial"/>
      <charset val="1"/>
    </font>
    <font>
      <b/>
      <sz val="9"/>
      <color rgb="FF000000"/>
      <name val="Arial"/>
      <charset val="1"/>
    </font>
    <font>
      <b/>
      <sz val="9"/>
      <color rgb="FFFFFFFF"/>
      <name val="Arial"/>
      <charset val="1"/>
    </font>
    <font>
      <b/>
      <sz val="8"/>
      <color rgb="FFFFFFFF"/>
      <name val="Arial"/>
      <charset val="1"/>
    </font>
    <font>
      <b/>
      <sz val="8"/>
      <color rgb="FF404040"/>
      <name val="Arial"/>
      <charset val="1"/>
    </font>
    <font>
      <sz val="9"/>
      <color rgb="FF000000"/>
      <name val="Arial"/>
      <charset val="1"/>
    </font>
    <font>
      <sz val="8"/>
      <color rgb="FF595959"/>
      <name val="Arial"/>
      <charset val="1"/>
    </font>
    <font>
      <sz val="9"/>
      <color rgb="FF808080"/>
      <name val="Arial"/>
      <charset val="1"/>
    </font>
    <font>
      <sz val="9"/>
      <color rgb="FF9C6500"/>
      <name val="Arial"/>
      <charset val="1"/>
    </font>
    <font>
      <sz val="9"/>
      <color rgb="FF922B21"/>
      <name val="Arial"/>
      <charset val="1"/>
    </font>
    <font>
      <i/>
      <sz val="10"/>
      <color rgb="FF595959"/>
      <name val="Arial"/>
      <charset val="1"/>
    </font>
    <font>
      <sz val="10"/>
      <color rgb="FF808080"/>
      <name val="Arial"/>
      <charset val="1"/>
    </font>
    <font>
      <sz val="10"/>
      <color rgb="FF9C6500"/>
      <name val="Arial"/>
      <charset val="1"/>
    </font>
    <font>
      <sz val="10"/>
      <color rgb="FF922B21"/>
      <name val="Arial"/>
      <charset val="1"/>
    </font>
    <font>
      <b/>
      <sz val="20"/>
      <color rgb="FFFFFFFF"/>
      <name val="Arial"/>
      <family val="2"/>
    </font>
    <font>
      <sz val="20"/>
      <color theme="1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1F3864"/>
        <bgColor rgb="FF1F4E79"/>
      </patternFill>
    </fill>
    <fill>
      <patternFill patternType="solid">
        <fgColor rgb="FF2E5496"/>
        <bgColor rgb="FF1F4E79"/>
      </patternFill>
    </fill>
    <fill>
      <patternFill patternType="solid">
        <fgColor rgb="FFD6E4F5"/>
        <bgColor rgb="FFD9D9D9"/>
      </patternFill>
    </fill>
    <fill>
      <patternFill patternType="solid">
        <fgColor rgb="FFFCE3CE"/>
        <bgColor rgb="FFFADCD9"/>
      </patternFill>
    </fill>
    <fill>
      <patternFill patternType="solid">
        <fgColor rgb="FFDCEDD3"/>
        <bgColor rgb="FFEDEDED"/>
      </patternFill>
    </fill>
    <fill>
      <patternFill patternType="solid">
        <fgColor rgb="FFF0F0F0"/>
        <bgColor rgb="FFF2F2F2"/>
      </patternFill>
    </fill>
    <fill>
      <patternFill patternType="solid">
        <fgColor rgb="FFFFF1C1"/>
        <bgColor rgb="FFFCE3CE"/>
      </patternFill>
    </fill>
    <fill>
      <patternFill patternType="solid">
        <fgColor rgb="FFFADCD9"/>
        <bgColor rgb="FFFCE3CE"/>
      </patternFill>
    </fill>
    <fill>
      <patternFill patternType="solid">
        <fgColor rgb="FFEDEDED"/>
        <bgColor rgb="FFF0F0F0"/>
      </patternFill>
    </fill>
    <fill>
      <patternFill patternType="solid">
        <fgColor rgb="FFD9D9D9"/>
        <bgColor rgb="FFD6E4F5"/>
      </patternFill>
    </fill>
    <fill>
      <patternFill patternType="solid">
        <fgColor rgb="FFF2F2F2"/>
        <bgColor rgb="FFF0F0F0"/>
      </patternFill>
    </fill>
    <fill>
      <patternFill patternType="solid">
        <fgColor theme="3" tint="-0.499984740745262"/>
        <bgColor rgb="FF1F4E79"/>
      </patternFill>
    </fill>
    <fill>
      <patternFill patternType="solid">
        <fgColor theme="3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4" fillId="0" borderId="0" xfId="0" applyFont="1" applyAlignment="1">
      <alignment horizontal="left" vertical="center"/>
    </xf>
    <xf numFmtId="0" fontId="23" fillId="11" borderId="2" xfId="0" applyFont="1" applyFill="1" applyBorder="1" applyAlignment="1">
      <alignment horizontal="left" vertical="center"/>
    </xf>
    <xf numFmtId="0" fontId="19" fillId="6" borderId="2" xfId="0" applyFont="1" applyFill="1" applyBorder="1" applyAlignment="1">
      <alignment horizontal="left" vertical="center"/>
    </xf>
    <xf numFmtId="0" fontId="18" fillId="5" borderId="2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164" fontId="15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3" borderId="1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165" fontId="23" fillId="0" borderId="1" xfId="0" applyNumberFormat="1" applyFont="1" applyBorder="1" applyAlignment="1">
      <alignment horizontal="center" vertical="center"/>
    </xf>
    <xf numFmtId="0" fontId="23" fillId="1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166" fontId="1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6" fillId="13" borderId="0" xfId="0" applyFont="1" applyFill="1" applyAlignment="1">
      <alignment horizontal="left" vertical="center"/>
    </xf>
    <xf numFmtId="0" fontId="37" fillId="14" borderId="0" xfId="0" applyFont="1" applyFill="1"/>
  </cellXfs>
  <cellStyles count="1">
    <cellStyle name="Standard" xfId="0" builtinId="0"/>
  </cellStyles>
  <dxfs count="9">
    <dxf>
      <font>
        <b/>
        <sz val="10"/>
        <color rgb="FF922B21"/>
        <name val="Arial"/>
        <charset val="1"/>
      </font>
      <fill>
        <patternFill>
          <bgColor rgb="FFF4B6B0"/>
        </patternFill>
      </fill>
    </dxf>
    <dxf>
      <font>
        <b/>
        <sz val="9"/>
        <color rgb="FF922B21"/>
        <name val="Arial"/>
        <charset val="1"/>
      </font>
      <fill>
        <patternFill>
          <bgColor rgb="FFF4B6B0"/>
        </patternFill>
      </fill>
    </dxf>
    <dxf>
      <font>
        <b/>
        <sz val="9"/>
        <color rgb="FF922B21"/>
        <name val="Arial"/>
        <charset val="1"/>
      </font>
      <fill>
        <patternFill>
          <bgColor rgb="FFFADCD9"/>
        </patternFill>
      </fill>
    </dxf>
    <dxf>
      <font>
        <b/>
        <sz val="9"/>
        <color rgb="FF9C6500"/>
        <name val="Arial"/>
        <charset val="1"/>
      </font>
      <fill>
        <patternFill>
          <bgColor rgb="FFFFF1C1"/>
        </patternFill>
      </fill>
    </dxf>
    <dxf>
      <font>
        <b/>
        <sz val="9"/>
        <color rgb="FF808080"/>
        <name val="Arial"/>
        <charset val="1"/>
      </font>
      <fill>
        <patternFill>
          <bgColor rgb="FFF0F0F0"/>
        </patternFill>
      </fill>
    </dxf>
    <dxf>
      <font>
        <b/>
        <sz val="9"/>
        <color rgb="FF375623"/>
        <name val="Arial"/>
        <charset val="1"/>
      </font>
      <fill>
        <patternFill>
          <bgColor rgb="FFDCEDD3"/>
        </patternFill>
      </fill>
    </dxf>
    <dxf>
      <font>
        <b/>
        <sz val="9"/>
        <color rgb="FF9C4B12"/>
        <name val="Arial"/>
        <charset val="1"/>
      </font>
      <fill>
        <patternFill>
          <bgColor rgb="FFFCE3CE"/>
        </patternFill>
      </fill>
    </dxf>
    <dxf>
      <font>
        <b/>
        <sz val="9"/>
        <color rgb="FF1F4E79"/>
        <name val="Arial"/>
        <charset val="1"/>
      </font>
      <fill>
        <patternFill>
          <bgColor rgb="FFD6E4F5"/>
        </patternFill>
      </fill>
    </dxf>
    <dxf>
      <font>
        <b/>
        <sz val="9"/>
        <color rgb="FFFFFFFF"/>
        <name val="Arial"/>
        <charset val="1"/>
      </font>
      <fill>
        <patternFill>
          <bgColor rgb="FF8497B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BFBFBF"/>
      <rgbColor rgb="FF808080"/>
      <rgbColor rgb="FF9999FF"/>
      <rgbColor rgb="FF9C4B12"/>
      <rgbColor rgb="FFFFF1C1"/>
      <rgbColor rgb="FFD6E4F5"/>
      <rgbColor rgb="FF660066"/>
      <rgbColor rgb="FFFF8080"/>
      <rgbColor rgb="FF1F4E79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0F0"/>
      <rgbColor rgb="FFDCEDD3"/>
      <rgbColor rgb="FFFCE3CE"/>
      <rgbColor rgb="FFEDEDED"/>
      <rgbColor rgb="FFFADCD9"/>
      <rgbColor rgb="FFF2F2F2"/>
      <rgbColor rgb="FFF4B6B0"/>
      <rgbColor rgb="FF3366FF"/>
      <rgbColor rgb="FF33CCCC"/>
      <rgbColor rgb="FF99CC00"/>
      <rgbColor rgb="FFFFCC00"/>
      <rgbColor rgb="FFFF9900"/>
      <rgbColor rgb="FFFF6600"/>
      <rgbColor rgb="FF595959"/>
      <rgbColor rgb="FF8497B0"/>
      <rgbColor rgb="FF1F3864"/>
      <rgbColor rgb="FF339966"/>
      <rgbColor rgb="FF003300"/>
      <rgbColor rgb="FF375623"/>
      <rgbColor rgb="FF922B21"/>
      <rgbColor rgb="FF993366"/>
      <rgbColor rgb="FF2E5496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4"/>
  <sheetViews>
    <sheetView showGridLines="0" tabSelected="1" zoomScaleNormal="100" workbookViewId="0">
      <selection activeCell="AD23" sqref="AD23"/>
    </sheetView>
  </sheetViews>
  <sheetFormatPr baseColWidth="10" defaultColWidth="8.7109375" defaultRowHeight="15" x14ac:dyDescent="0.25"/>
  <cols>
    <col min="1" max="1" width="10" customWidth="1"/>
    <col min="2" max="2" width="20" customWidth="1"/>
    <col min="3" max="4" width="18" customWidth="1"/>
    <col min="5" max="5" width="12" customWidth="1"/>
  </cols>
  <sheetData>
    <row r="1" spans="1:44" ht="26.25" x14ac:dyDescent="0.4">
      <c r="A1" s="61" t="s">
        <v>84</v>
      </c>
      <c r="B1" s="61"/>
      <c r="C1" s="61"/>
      <c r="D1" s="61"/>
      <c r="E1" s="61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</row>
    <row r="2" spans="1:44" ht="15" customHeight="1" x14ac:dyDescent="0.25">
      <c r="A2" s="57" t="s">
        <v>0</v>
      </c>
      <c r="B2" s="57"/>
      <c r="C2" s="57"/>
      <c r="D2" s="57"/>
      <c r="E2" s="57"/>
    </row>
    <row r="4" spans="1:44" ht="15" customHeight="1" x14ac:dyDescent="0.25">
      <c r="A4" s="58" t="s">
        <v>1</v>
      </c>
      <c r="B4" s="58"/>
      <c r="C4" s="58"/>
      <c r="D4" s="58"/>
      <c r="E4" s="58"/>
    </row>
    <row r="5" spans="1:44" ht="15" customHeight="1" x14ac:dyDescent="0.25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</row>
    <row r="6" spans="1:44" ht="15" customHeight="1" x14ac:dyDescent="0.25">
      <c r="A6" s="16" t="s">
        <v>7</v>
      </c>
      <c r="B6" s="17" t="s">
        <v>8</v>
      </c>
      <c r="C6" s="18" t="s">
        <v>9</v>
      </c>
      <c r="D6" s="18" t="s">
        <v>10</v>
      </c>
      <c r="E6" s="18">
        <v>8</v>
      </c>
    </row>
    <row r="7" spans="1:44" ht="15" customHeight="1" x14ac:dyDescent="0.25">
      <c r="A7" s="19" t="s">
        <v>11</v>
      </c>
      <c r="B7" s="17" t="s">
        <v>12</v>
      </c>
      <c r="C7" s="18" t="s">
        <v>10</v>
      </c>
      <c r="D7" s="18" t="s">
        <v>13</v>
      </c>
      <c r="E7" s="18">
        <v>8</v>
      </c>
    </row>
    <row r="8" spans="1:44" ht="15" customHeight="1" x14ac:dyDescent="0.25">
      <c r="A8" s="20" t="s">
        <v>14</v>
      </c>
      <c r="B8" s="17" t="s">
        <v>15</v>
      </c>
      <c r="C8" s="18" t="s">
        <v>13</v>
      </c>
      <c r="D8" s="18" t="s">
        <v>9</v>
      </c>
      <c r="E8" s="18">
        <v>8</v>
      </c>
    </row>
    <row r="9" spans="1:44" ht="15" customHeight="1" x14ac:dyDescent="0.25">
      <c r="A9" s="21" t="s">
        <v>16</v>
      </c>
      <c r="B9" s="17" t="s">
        <v>17</v>
      </c>
      <c r="C9" s="18" t="s">
        <v>18</v>
      </c>
      <c r="D9" s="18" t="s">
        <v>18</v>
      </c>
      <c r="E9" s="18">
        <v>0</v>
      </c>
    </row>
    <row r="10" spans="1:44" ht="15" customHeight="1" x14ac:dyDescent="0.25">
      <c r="A10" s="22" t="s">
        <v>19</v>
      </c>
      <c r="B10" s="17" t="s">
        <v>20</v>
      </c>
      <c r="C10" s="18" t="s">
        <v>18</v>
      </c>
      <c r="D10" s="18" t="s">
        <v>18</v>
      </c>
      <c r="E10" s="18">
        <v>0</v>
      </c>
    </row>
    <row r="11" spans="1:44" ht="15" customHeight="1" x14ac:dyDescent="0.25">
      <c r="A11" s="23" t="s">
        <v>21</v>
      </c>
      <c r="B11" s="17" t="s">
        <v>22</v>
      </c>
      <c r="C11" s="18" t="s">
        <v>18</v>
      </c>
      <c r="D11" s="18" t="s">
        <v>18</v>
      </c>
      <c r="E11" s="18">
        <v>0</v>
      </c>
    </row>
    <row r="13" spans="1:44" ht="15" customHeight="1" x14ac:dyDescent="0.25">
      <c r="A13" s="24" t="s">
        <v>23</v>
      </c>
      <c r="B13" s="1" t="s">
        <v>24</v>
      </c>
      <c r="C13" s="1"/>
      <c r="D13" s="1"/>
      <c r="E13" s="1"/>
    </row>
    <row r="15" spans="1:44" ht="15" customHeight="1" x14ac:dyDescent="0.25">
      <c r="A15" s="58" t="s">
        <v>25</v>
      </c>
      <c r="B15" s="58"/>
      <c r="C15" s="58"/>
      <c r="D15" s="58"/>
      <c r="E15" s="58"/>
    </row>
    <row r="16" spans="1:44" ht="15" customHeight="1" x14ac:dyDescent="0.25">
      <c r="A16" s="15" t="s">
        <v>26</v>
      </c>
      <c r="B16" s="15" t="s">
        <v>27</v>
      </c>
      <c r="C16" s="15" t="s">
        <v>28</v>
      </c>
      <c r="D16" s="15" t="s">
        <v>29</v>
      </c>
    </row>
    <row r="17" spans="1:4" ht="15" customHeight="1" x14ac:dyDescent="0.25">
      <c r="A17" s="26" t="s">
        <v>30</v>
      </c>
      <c r="B17" s="27" t="s">
        <v>31</v>
      </c>
      <c r="C17" s="27" t="s">
        <v>32</v>
      </c>
      <c r="D17" s="18">
        <v>160</v>
      </c>
    </row>
    <row r="18" spans="1:4" ht="15" customHeight="1" x14ac:dyDescent="0.25">
      <c r="A18" s="26" t="s">
        <v>33</v>
      </c>
      <c r="B18" s="27" t="s">
        <v>34</v>
      </c>
      <c r="C18" s="27" t="s">
        <v>32</v>
      </c>
      <c r="D18" s="18">
        <v>160</v>
      </c>
    </row>
    <row r="19" spans="1:4" ht="15" customHeight="1" x14ac:dyDescent="0.25">
      <c r="A19" s="26" t="s">
        <v>35</v>
      </c>
      <c r="B19" s="27" t="s">
        <v>36</v>
      </c>
      <c r="C19" s="27" t="s">
        <v>32</v>
      </c>
      <c r="D19" s="18">
        <v>160</v>
      </c>
    </row>
    <row r="20" spans="1:4" ht="15" customHeight="1" x14ac:dyDescent="0.25">
      <c r="A20" s="26" t="s">
        <v>37</v>
      </c>
      <c r="B20" s="27" t="s">
        <v>38</v>
      </c>
      <c r="C20" s="27" t="s">
        <v>39</v>
      </c>
      <c r="D20" s="18">
        <v>160</v>
      </c>
    </row>
    <row r="21" spans="1:4" ht="15" customHeight="1" x14ac:dyDescent="0.25">
      <c r="A21" s="26" t="s">
        <v>40</v>
      </c>
      <c r="B21" s="27" t="s">
        <v>41</v>
      </c>
      <c r="C21" s="27" t="s">
        <v>39</v>
      </c>
      <c r="D21" s="18">
        <v>160</v>
      </c>
    </row>
    <row r="22" spans="1:4" ht="15" customHeight="1" x14ac:dyDescent="0.25">
      <c r="A22" s="26" t="s">
        <v>42</v>
      </c>
      <c r="B22" s="27" t="s">
        <v>43</v>
      </c>
      <c r="C22" s="27" t="s">
        <v>39</v>
      </c>
      <c r="D22" s="18">
        <v>120</v>
      </c>
    </row>
    <row r="23" spans="1:4" ht="15" customHeight="1" x14ac:dyDescent="0.25">
      <c r="A23" s="26" t="s">
        <v>44</v>
      </c>
      <c r="B23" s="27" t="s">
        <v>45</v>
      </c>
      <c r="C23" s="27" t="s">
        <v>46</v>
      </c>
      <c r="D23" s="18">
        <v>160</v>
      </c>
    </row>
    <row r="24" spans="1:4" ht="15" customHeight="1" x14ac:dyDescent="0.25">
      <c r="A24" s="26" t="s">
        <v>47</v>
      </c>
      <c r="B24" s="27" t="s">
        <v>48</v>
      </c>
      <c r="C24" s="27" t="s">
        <v>46</v>
      </c>
      <c r="D24" s="18">
        <v>140</v>
      </c>
    </row>
  </sheetData>
  <mergeCells count="5">
    <mergeCell ref="A1:E1"/>
    <mergeCell ref="A2:E2"/>
    <mergeCell ref="A4:E4"/>
    <mergeCell ref="B13:E13"/>
    <mergeCell ref="A15:E1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21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D23" sqref="AD23"/>
    </sheetView>
  </sheetViews>
  <sheetFormatPr baseColWidth="10" defaultColWidth="8.7109375" defaultRowHeight="15" x14ac:dyDescent="0.25"/>
  <cols>
    <col min="1" max="1" width="6" customWidth="1"/>
    <col min="2" max="2" width="18" customWidth="1"/>
    <col min="3" max="3" width="12" customWidth="1"/>
    <col min="4" max="34" width="3.5703125" customWidth="1"/>
    <col min="35" max="40" width="4.42578125" customWidth="1"/>
    <col min="41" max="44" width="7" customWidth="1"/>
  </cols>
  <sheetData>
    <row r="1" spans="1:44" ht="26.25" x14ac:dyDescent="0.25">
      <c r="A1" s="61" t="s">
        <v>84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</row>
    <row r="2" spans="1:44" ht="15" customHeight="1" x14ac:dyDescent="0.25">
      <c r="A2" s="28" t="s">
        <v>49</v>
      </c>
      <c r="B2" s="29">
        <v>46266</v>
      </c>
      <c r="D2" s="13" t="s">
        <v>50</v>
      </c>
      <c r="E2" s="13"/>
      <c r="F2" s="13"/>
      <c r="G2" s="12" t="s">
        <v>51</v>
      </c>
      <c r="H2" s="12"/>
      <c r="I2" s="12"/>
      <c r="J2" s="11" t="s">
        <v>52</v>
      </c>
      <c r="K2" s="11"/>
      <c r="L2" s="11"/>
      <c r="M2" s="10" t="s">
        <v>53</v>
      </c>
      <c r="N2" s="10"/>
      <c r="O2" s="10"/>
      <c r="P2" s="9" t="s">
        <v>54</v>
      </c>
      <c r="Q2" s="9"/>
      <c r="R2" s="9"/>
      <c r="S2" s="8" t="s">
        <v>55</v>
      </c>
      <c r="T2" s="8"/>
      <c r="U2" s="8"/>
    </row>
    <row r="3" spans="1:44" ht="15" customHeight="1" x14ac:dyDescent="0.25">
      <c r="A3" s="30" t="s">
        <v>56</v>
      </c>
      <c r="B3" s="26">
        <v>2</v>
      </c>
      <c r="C3" s="25" t="s">
        <v>57</v>
      </c>
    </row>
    <row r="4" spans="1:44" ht="15" customHeight="1" x14ac:dyDescent="0.25">
      <c r="A4" s="7" t="s">
        <v>26</v>
      </c>
      <c r="B4" s="7" t="s">
        <v>58</v>
      </c>
      <c r="C4" s="7" t="s">
        <v>59</v>
      </c>
      <c r="D4" s="31">
        <f>IF(MONTH(($B$2+0))=MONTH($B$2),DAY(($B$2+0)),"")</f>
        <v>1</v>
      </c>
      <c r="E4" s="31">
        <f>IF(MONTH(($B$2+1))=MONTH($B$2),DAY(($B$2+1)),"")</f>
        <v>2</v>
      </c>
      <c r="F4" s="31">
        <f>IF(MONTH(($B$2+2))=MONTH($B$2),DAY(($B$2+2)),"")</f>
        <v>3</v>
      </c>
      <c r="G4" s="31">
        <f>IF(MONTH(($B$2+3))=MONTH($B$2),DAY(($B$2+3)),"")</f>
        <v>4</v>
      </c>
      <c r="H4" s="31">
        <f>IF(MONTH(($B$2+4))=MONTH($B$2),DAY(($B$2+4)),"")</f>
        <v>5</v>
      </c>
      <c r="I4" s="31">
        <f>IF(MONTH(($B$2+5))=MONTH($B$2),DAY(($B$2+5)),"")</f>
        <v>6</v>
      </c>
      <c r="J4" s="31">
        <f>IF(MONTH(($B$2+6))=MONTH($B$2),DAY(($B$2+6)),"")</f>
        <v>7</v>
      </c>
      <c r="K4" s="31">
        <f>IF(MONTH(($B$2+7))=MONTH($B$2),DAY(($B$2+7)),"")</f>
        <v>8</v>
      </c>
      <c r="L4" s="31">
        <f>IF(MONTH(($B$2+8))=MONTH($B$2),DAY(($B$2+8)),"")</f>
        <v>9</v>
      </c>
      <c r="M4" s="31">
        <f>IF(MONTH(($B$2+9))=MONTH($B$2),DAY(($B$2+9)),"")</f>
        <v>10</v>
      </c>
      <c r="N4" s="31">
        <f>IF(MONTH(($B$2+10))=MONTH($B$2),DAY(($B$2+10)),"")</f>
        <v>11</v>
      </c>
      <c r="O4" s="31">
        <f>IF(MONTH(($B$2+11))=MONTH($B$2),DAY(($B$2+11)),"")</f>
        <v>12</v>
      </c>
      <c r="P4" s="31">
        <f>IF(MONTH(($B$2+12))=MONTH($B$2),DAY(($B$2+12)),"")</f>
        <v>13</v>
      </c>
      <c r="Q4" s="31">
        <f>IF(MONTH(($B$2+13))=MONTH($B$2),DAY(($B$2+13)),"")</f>
        <v>14</v>
      </c>
      <c r="R4" s="31">
        <f>IF(MONTH(($B$2+14))=MONTH($B$2),DAY(($B$2+14)),"")</f>
        <v>15</v>
      </c>
      <c r="S4" s="31">
        <f>IF(MONTH(($B$2+15))=MONTH($B$2),DAY(($B$2+15)),"")</f>
        <v>16</v>
      </c>
      <c r="T4" s="31">
        <f>IF(MONTH(($B$2+16))=MONTH($B$2),DAY(($B$2+16)),"")</f>
        <v>17</v>
      </c>
      <c r="U4" s="31">
        <f>IF(MONTH(($B$2+17))=MONTH($B$2),DAY(($B$2+17)),"")</f>
        <v>18</v>
      </c>
      <c r="V4" s="31">
        <f>IF(MONTH(($B$2+18))=MONTH($B$2),DAY(($B$2+18)),"")</f>
        <v>19</v>
      </c>
      <c r="W4" s="31">
        <f>IF(MONTH(($B$2+19))=MONTH($B$2),DAY(($B$2+19)),"")</f>
        <v>20</v>
      </c>
      <c r="X4" s="31">
        <f>IF(MONTH(($B$2+20))=MONTH($B$2),DAY(($B$2+20)),"")</f>
        <v>21</v>
      </c>
      <c r="Y4" s="31">
        <f>IF(MONTH(($B$2+21))=MONTH($B$2),DAY(($B$2+21)),"")</f>
        <v>22</v>
      </c>
      <c r="Z4" s="31">
        <f>IF(MONTH(($B$2+22))=MONTH($B$2),DAY(($B$2+22)),"")</f>
        <v>23</v>
      </c>
      <c r="AA4" s="31">
        <f>IF(MONTH(($B$2+23))=MONTH($B$2),DAY(($B$2+23)),"")</f>
        <v>24</v>
      </c>
      <c r="AB4" s="31">
        <f>IF(MONTH(($B$2+24))=MONTH($B$2),DAY(($B$2+24)),"")</f>
        <v>25</v>
      </c>
      <c r="AC4" s="31">
        <f>IF(MONTH(($B$2+25))=MONTH($B$2),DAY(($B$2+25)),"")</f>
        <v>26</v>
      </c>
      <c r="AD4" s="31">
        <f>IF(MONTH(($B$2+26))=MONTH($B$2),DAY(($B$2+26)),"")</f>
        <v>27</v>
      </c>
      <c r="AE4" s="31">
        <f>IF(MONTH(($B$2+27))=MONTH($B$2),DAY(($B$2+27)),"")</f>
        <v>28</v>
      </c>
      <c r="AF4" s="31">
        <f>IF(MONTH(($B$2+28))=MONTH($B$2),DAY(($B$2+28)),"")</f>
        <v>29</v>
      </c>
      <c r="AG4" s="31">
        <f>IF(MONTH(($B$2+29))=MONTH($B$2),DAY(($B$2+29)),"")</f>
        <v>30</v>
      </c>
      <c r="AH4" s="31" t="str">
        <f>IF(MONTH(($B$2+30))=MONTH($B$2),DAY(($B$2+30)),"")</f>
        <v/>
      </c>
      <c r="AI4" s="6" t="s">
        <v>7</v>
      </c>
      <c r="AJ4" s="6" t="s">
        <v>11</v>
      </c>
      <c r="AK4" s="6" t="s">
        <v>14</v>
      </c>
      <c r="AL4" s="6" t="s">
        <v>16</v>
      </c>
      <c r="AM4" s="6" t="s">
        <v>19</v>
      </c>
      <c r="AN4" s="6" t="s">
        <v>21</v>
      </c>
      <c r="AO4" s="6" t="s">
        <v>60</v>
      </c>
      <c r="AP4" s="6" t="s">
        <v>61</v>
      </c>
      <c r="AQ4" s="6" t="s">
        <v>62</v>
      </c>
      <c r="AR4" s="6" t="s">
        <v>63</v>
      </c>
    </row>
    <row r="5" spans="1:44" ht="15" customHeight="1" x14ac:dyDescent="0.25">
      <c r="A5" s="7"/>
      <c r="B5" s="7"/>
      <c r="C5" s="7"/>
      <c r="D5" s="32" t="str">
        <f>IF(D4="","",CHOOSE(WEEKDAY(($B$2+0),2),"L","M","X","J","V","S","D"))</f>
        <v>M</v>
      </c>
      <c r="E5" s="32" t="str">
        <f>IF(E4="","",CHOOSE(WEEKDAY(($B$2+1),2),"L","M","X","J","V","S","D"))</f>
        <v>X</v>
      </c>
      <c r="F5" s="32" t="str">
        <f>IF(F4="","",CHOOSE(WEEKDAY(($B$2+2),2),"L","M","X","J","V","S","D"))</f>
        <v>J</v>
      </c>
      <c r="G5" s="32" t="str">
        <f>IF(G4="","",CHOOSE(WEEKDAY(($B$2+3),2),"L","M","X","J","V","S","D"))</f>
        <v>V</v>
      </c>
      <c r="H5" s="32" t="str">
        <f>IF(H4="","",CHOOSE(WEEKDAY(($B$2+4),2),"L","M","X","J","V","S","D"))</f>
        <v>S</v>
      </c>
      <c r="I5" s="32" t="str">
        <f>IF(I4="","",CHOOSE(WEEKDAY(($B$2+5),2),"L","M","X","J","V","S","D"))</f>
        <v>D</v>
      </c>
      <c r="J5" s="32" t="str">
        <f>IF(J4="","",CHOOSE(WEEKDAY(($B$2+6),2),"L","M","X","J","V","S","D"))</f>
        <v>L</v>
      </c>
      <c r="K5" s="32" t="str">
        <f>IF(K4="","",CHOOSE(WEEKDAY(($B$2+7),2),"L","M","X","J","V","S","D"))</f>
        <v>M</v>
      </c>
      <c r="L5" s="32" t="str">
        <f>IF(L4="","",CHOOSE(WEEKDAY(($B$2+8),2),"L","M","X","J","V","S","D"))</f>
        <v>X</v>
      </c>
      <c r="M5" s="32" t="str">
        <f>IF(M4="","",CHOOSE(WEEKDAY(($B$2+9),2),"L","M","X","J","V","S","D"))</f>
        <v>J</v>
      </c>
      <c r="N5" s="32" t="str">
        <f>IF(N4="","",CHOOSE(WEEKDAY(($B$2+10),2),"L","M","X","J","V","S","D"))</f>
        <v>V</v>
      </c>
      <c r="O5" s="32" t="str">
        <f>IF(O4="","",CHOOSE(WEEKDAY(($B$2+11),2),"L","M","X","J","V","S","D"))</f>
        <v>S</v>
      </c>
      <c r="P5" s="32" t="str">
        <f>IF(P4="","",CHOOSE(WEEKDAY(($B$2+12),2),"L","M","X","J","V","S","D"))</f>
        <v>D</v>
      </c>
      <c r="Q5" s="32" t="str">
        <f>IF(Q4="","",CHOOSE(WEEKDAY(($B$2+13),2),"L","M","X","J","V","S","D"))</f>
        <v>L</v>
      </c>
      <c r="R5" s="32" t="str">
        <f>IF(R4="","",CHOOSE(WEEKDAY(($B$2+14),2),"L","M","X","J","V","S","D"))</f>
        <v>M</v>
      </c>
      <c r="S5" s="32" t="str">
        <f>IF(S4="","",CHOOSE(WEEKDAY(($B$2+15),2),"L","M","X","J","V","S","D"))</f>
        <v>X</v>
      </c>
      <c r="T5" s="32" t="str">
        <f>IF(T4="","",CHOOSE(WEEKDAY(($B$2+16),2),"L","M","X","J","V","S","D"))</f>
        <v>J</v>
      </c>
      <c r="U5" s="32" t="str">
        <f>IF(U4="","",CHOOSE(WEEKDAY(($B$2+17),2),"L","M","X","J","V","S","D"))</f>
        <v>V</v>
      </c>
      <c r="V5" s="32" t="str">
        <f>IF(V4="","",CHOOSE(WEEKDAY(($B$2+18),2),"L","M","X","J","V","S","D"))</f>
        <v>S</v>
      </c>
      <c r="W5" s="32" t="str">
        <f>IF(W4="","",CHOOSE(WEEKDAY(($B$2+19),2),"L","M","X","J","V","S","D"))</f>
        <v>D</v>
      </c>
      <c r="X5" s="32" t="str">
        <f>IF(X4="","",CHOOSE(WEEKDAY(($B$2+20),2),"L","M","X","J","V","S","D"))</f>
        <v>L</v>
      </c>
      <c r="Y5" s="32" t="str">
        <f>IF(Y4="","",CHOOSE(WEEKDAY(($B$2+21),2),"L","M","X","J","V","S","D"))</f>
        <v>M</v>
      </c>
      <c r="Z5" s="32" t="str">
        <f>IF(Z4="","",CHOOSE(WEEKDAY(($B$2+22),2),"L","M","X","J","V","S","D"))</f>
        <v>X</v>
      </c>
      <c r="AA5" s="32" t="str">
        <f>IF(AA4="","",CHOOSE(WEEKDAY(($B$2+23),2),"L","M","X","J","V","S","D"))</f>
        <v>J</v>
      </c>
      <c r="AB5" s="32" t="str">
        <f>IF(AB4="","",CHOOSE(WEEKDAY(($B$2+24),2),"L","M","X","J","V","S","D"))</f>
        <v>V</v>
      </c>
      <c r="AC5" s="32" t="str">
        <f>IF(AC4="","",CHOOSE(WEEKDAY(($B$2+25),2),"L","M","X","J","V","S","D"))</f>
        <v>S</v>
      </c>
      <c r="AD5" s="32" t="str">
        <f>IF(AD4="","",CHOOSE(WEEKDAY(($B$2+26),2),"L","M","X","J","V","S","D"))</f>
        <v>D</v>
      </c>
      <c r="AE5" s="32" t="str">
        <f>IF(AE4="","",CHOOSE(WEEKDAY(($B$2+27),2),"L","M","X","J","V","S","D"))</f>
        <v>L</v>
      </c>
      <c r="AF5" s="32" t="str">
        <f>IF(AF4="","",CHOOSE(WEEKDAY(($B$2+28),2),"L","M","X","J","V","S","D"))</f>
        <v>M</v>
      </c>
      <c r="AG5" s="32" t="str">
        <f>IF(AG4="","",CHOOSE(WEEKDAY(($B$2+29),2),"L","M","X","J","V","S","D"))</f>
        <v>X</v>
      </c>
      <c r="AH5" s="32" t="str">
        <f>IF(AH4="","",CHOOSE(WEEKDAY(($B$2+30),2),"L","M","X","J","V","S","D"))</f>
        <v/>
      </c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44" ht="15.75" customHeight="1" x14ac:dyDescent="0.25">
      <c r="A6" s="33" t="s">
        <v>30</v>
      </c>
      <c r="B6" s="34" t="str">
        <f>IFERROR(INDEX(Configuración!$B$17:$B$24,MATCH(A6,Configuración!$A$17:$A$24,0)),"")</f>
        <v>Marta Salcedo</v>
      </c>
      <c r="C6" s="35" t="str">
        <f>IFERROR(INDEX(Configuración!$C$17:$C$24,MATCH(A6,Configuración!$A$17:$A$24,0)),"")</f>
        <v>Operaciones</v>
      </c>
      <c r="D6" s="33" t="s">
        <v>7</v>
      </c>
      <c r="E6" s="33" t="s">
        <v>7</v>
      </c>
      <c r="F6" s="33" t="s">
        <v>11</v>
      </c>
      <c r="G6" s="33" t="s">
        <v>11</v>
      </c>
      <c r="H6" s="33" t="s">
        <v>14</v>
      </c>
      <c r="I6" s="33" t="s">
        <v>14</v>
      </c>
      <c r="J6" s="33" t="s">
        <v>16</v>
      </c>
      <c r="K6" s="33" t="s">
        <v>16</v>
      </c>
      <c r="L6" s="33" t="s">
        <v>7</v>
      </c>
      <c r="M6" s="33" t="s">
        <v>7</v>
      </c>
      <c r="N6" s="33" t="s">
        <v>11</v>
      </c>
      <c r="O6" s="33" t="s">
        <v>11</v>
      </c>
      <c r="P6" s="33" t="s">
        <v>14</v>
      </c>
      <c r="Q6" s="33" t="s">
        <v>14</v>
      </c>
      <c r="R6" s="33" t="s">
        <v>16</v>
      </c>
      <c r="S6" s="33" t="s">
        <v>16</v>
      </c>
      <c r="T6" s="33" t="s">
        <v>7</v>
      </c>
      <c r="U6" s="33" t="s">
        <v>7</v>
      </c>
      <c r="V6" s="33" t="s">
        <v>11</v>
      </c>
      <c r="W6" s="33" t="s">
        <v>11</v>
      </c>
      <c r="X6" s="33" t="s">
        <v>14</v>
      </c>
      <c r="Y6" s="33" t="s">
        <v>14</v>
      </c>
      <c r="Z6" s="33" t="s">
        <v>16</v>
      </c>
      <c r="AA6" s="33" t="s">
        <v>16</v>
      </c>
      <c r="AB6" s="33" t="s">
        <v>7</v>
      </c>
      <c r="AC6" s="33" t="s">
        <v>7</v>
      </c>
      <c r="AD6" s="33" t="s">
        <v>11</v>
      </c>
      <c r="AE6" s="33" t="s">
        <v>11</v>
      </c>
      <c r="AF6" s="33" t="s">
        <v>14</v>
      </c>
      <c r="AG6" s="33" t="s">
        <v>14</v>
      </c>
      <c r="AH6" s="33"/>
      <c r="AI6" s="36">
        <f t="shared" ref="AI6:AI13" si="0">COUNTIF($D6:$AH6,"M")</f>
        <v>8</v>
      </c>
      <c r="AJ6" s="36">
        <f t="shared" ref="AJ6:AJ13" si="1">COUNTIF($D6:$AH6,"T")</f>
        <v>8</v>
      </c>
      <c r="AK6" s="36">
        <f t="shared" ref="AK6:AK13" si="2">COUNTIF($D6:$AH6,"N")</f>
        <v>8</v>
      </c>
      <c r="AL6" s="37">
        <f t="shared" ref="AL6:AL13" si="3">COUNTIF($D6:$AH6,"L")</f>
        <v>6</v>
      </c>
      <c r="AM6" s="38">
        <f t="shared" ref="AM6:AM13" si="4">COUNTIF($D6:$AH6,"V")</f>
        <v>0</v>
      </c>
      <c r="AN6" s="39">
        <f t="shared" ref="AN6:AN13" si="5">COUNTIF($D6:$AH6,"B")</f>
        <v>0</v>
      </c>
      <c r="AO6" s="33">
        <f t="shared" ref="AO6:AO13" si="6">AI6+AJ6+AK6</f>
        <v>24</v>
      </c>
      <c r="AP6" s="40">
        <f>AI6*Configuración!$E$6+AJ6*Configuración!$E$7+AK6*Configuración!$E$8</f>
        <v>192</v>
      </c>
      <c r="AQ6" s="40">
        <f>IFERROR(INDEX(Configuración!$D$17:$D$24,MATCH(A6,Configuración!$A$17:$A$24,0)),0)</f>
        <v>160</v>
      </c>
      <c r="AR6" s="41">
        <f t="shared" ref="AR6:AR13" si="7">AP6-AQ6</f>
        <v>32</v>
      </c>
    </row>
    <row r="7" spans="1:44" ht="15.75" customHeight="1" x14ac:dyDescent="0.25">
      <c r="A7" s="33" t="s">
        <v>33</v>
      </c>
      <c r="B7" s="34" t="str">
        <f>IFERROR(INDEX(Configuración!$B$17:$B$24,MATCH(A7,Configuración!$A$17:$A$24,0)),"")</f>
        <v>Julián Ferrer</v>
      </c>
      <c r="C7" s="35" t="str">
        <f>IFERROR(INDEX(Configuración!$C$17:$C$24,MATCH(A7,Configuración!$A$17:$A$24,0)),"")</f>
        <v>Operaciones</v>
      </c>
      <c r="D7" s="33" t="s">
        <v>7</v>
      </c>
      <c r="E7" s="33" t="s">
        <v>11</v>
      </c>
      <c r="F7" s="33" t="s">
        <v>11</v>
      </c>
      <c r="G7" s="33" t="s">
        <v>14</v>
      </c>
      <c r="H7" s="33" t="s">
        <v>14</v>
      </c>
      <c r="I7" s="33" t="s">
        <v>16</v>
      </c>
      <c r="J7" s="33" t="s">
        <v>16</v>
      </c>
      <c r="K7" s="33" t="s">
        <v>7</v>
      </c>
      <c r="L7" s="33" t="s">
        <v>7</v>
      </c>
      <c r="M7" s="33" t="s">
        <v>11</v>
      </c>
      <c r="N7" s="33" t="s">
        <v>11</v>
      </c>
      <c r="O7" s="33" t="s">
        <v>14</v>
      </c>
      <c r="P7" s="33" t="s">
        <v>14</v>
      </c>
      <c r="Q7" s="33" t="s">
        <v>16</v>
      </c>
      <c r="R7" s="33" t="s">
        <v>16</v>
      </c>
      <c r="S7" s="33" t="s">
        <v>7</v>
      </c>
      <c r="T7" s="33" t="s">
        <v>7</v>
      </c>
      <c r="U7" s="33" t="s">
        <v>11</v>
      </c>
      <c r="V7" s="33" t="s">
        <v>11</v>
      </c>
      <c r="W7" s="33" t="s">
        <v>14</v>
      </c>
      <c r="X7" s="33" t="s">
        <v>14</v>
      </c>
      <c r="Y7" s="33" t="s">
        <v>16</v>
      </c>
      <c r="Z7" s="33" t="s">
        <v>16</v>
      </c>
      <c r="AA7" s="33" t="s">
        <v>7</v>
      </c>
      <c r="AB7" s="33" t="s">
        <v>7</v>
      </c>
      <c r="AC7" s="33" t="s">
        <v>11</v>
      </c>
      <c r="AD7" s="33" t="s">
        <v>11</v>
      </c>
      <c r="AE7" s="33" t="s">
        <v>14</v>
      </c>
      <c r="AF7" s="33" t="s">
        <v>14</v>
      </c>
      <c r="AG7" s="33" t="s">
        <v>16</v>
      </c>
      <c r="AH7" s="33"/>
      <c r="AI7" s="36">
        <f t="shared" si="0"/>
        <v>7</v>
      </c>
      <c r="AJ7" s="36">
        <f t="shared" si="1"/>
        <v>8</v>
      </c>
      <c r="AK7" s="36">
        <f t="shared" si="2"/>
        <v>8</v>
      </c>
      <c r="AL7" s="37">
        <f t="shared" si="3"/>
        <v>7</v>
      </c>
      <c r="AM7" s="38">
        <f t="shared" si="4"/>
        <v>0</v>
      </c>
      <c r="AN7" s="39">
        <f t="shared" si="5"/>
        <v>0</v>
      </c>
      <c r="AO7" s="33">
        <f t="shared" si="6"/>
        <v>23</v>
      </c>
      <c r="AP7" s="40">
        <f>AI7*Configuración!$E$6+AJ7*Configuración!$E$7+AK7*Configuración!$E$8</f>
        <v>184</v>
      </c>
      <c r="AQ7" s="40">
        <f>IFERROR(INDEX(Configuración!$D$17:$D$24,MATCH(A7,Configuración!$A$17:$A$24,0)),0)</f>
        <v>160</v>
      </c>
      <c r="AR7" s="41">
        <f t="shared" si="7"/>
        <v>24</v>
      </c>
    </row>
    <row r="8" spans="1:44" ht="15.75" customHeight="1" x14ac:dyDescent="0.25">
      <c r="A8" s="33" t="s">
        <v>35</v>
      </c>
      <c r="B8" s="34" t="str">
        <f>IFERROR(INDEX(Configuración!$B$17:$B$24,MATCH(A8,Configuración!$A$17:$A$24,0)),"")</f>
        <v>Nadia Bouzid</v>
      </c>
      <c r="C8" s="35" t="str">
        <f>IFERROR(INDEX(Configuración!$C$17:$C$24,MATCH(A8,Configuración!$A$17:$A$24,0)),"")</f>
        <v>Operaciones</v>
      </c>
      <c r="D8" s="33" t="s">
        <v>11</v>
      </c>
      <c r="E8" s="33" t="s">
        <v>11</v>
      </c>
      <c r="F8" s="33" t="s">
        <v>14</v>
      </c>
      <c r="G8" s="33" t="s">
        <v>14</v>
      </c>
      <c r="H8" s="33" t="s">
        <v>16</v>
      </c>
      <c r="I8" s="33" t="s">
        <v>16</v>
      </c>
      <c r="J8" s="33" t="s">
        <v>7</v>
      </c>
      <c r="K8" s="33" t="s">
        <v>7</v>
      </c>
      <c r="L8" s="33" t="s">
        <v>11</v>
      </c>
      <c r="M8" s="33" t="s">
        <v>11</v>
      </c>
      <c r="N8" s="33" t="s">
        <v>14</v>
      </c>
      <c r="O8" s="33" t="s">
        <v>14</v>
      </c>
      <c r="P8" s="33" t="s">
        <v>16</v>
      </c>
      <c r="Q8" s="33" t="s">
        <v>16</v>
      </c>
      <c r="R8" s="33" t="s">
        <v>7</v>
      </c>
      <c r="S8" s="33" t="s">
        <v>7</v>
      </c>
      <c r="T8" s="33" t="s">
        <v>11</v>
      </c>
      <c r="U8" s="33" t="s">
        <v>11</v>
      </c>
      <c r="V8" s="33" t="s">
        <v>14</v>
      </c>
      <c r="W8" s="33" t="s">
        <v>14</v>
      </c>
      <c r="X8" s="33" t="s">
        <v>16</v>
      </c>
      <c r="Y8" s="33" t="s">
        <v>16</v>
      </c>
      <c r="Z8" s="33" t="s">
        <v>7</v>
      </c>
      <c r="AA8" s="33" t="s">
        <v>7</v>
      </c>
      <c r="AB8" s="33" t="s">
        <v>11</v>
      </c>
      <c r="AC8" s="33" t="s">
        <v>11</v>
      </c>
      <c r="AD8" s="33" t="s">
        <v>14</v>
      </c>
      <c r="AE8" s="33" t="s">
        <v>14</v>
      </c>
      <c r="AF8" s="33" t="s">
        <v>16</v>
      </c>
      <c r="AG8" s="33" t="s">
        <v>16</v>
      </c>
      <c r="AH8" s="33"/>
      <c r="AI8" s="36">
        <f t="shared" si="0"/>
        <v>6</v>
      </c>
      <c r="AJ8" s="36">
        <f t="shared" si="1"/>
        <v>8</v>
      </c>
      <c r="AK8" s="36">
        <f t="shared" si="2"/>
        <v>8</v>
      </c>
      <c r="AL8" s="37">
        <f t="shared" si="3"/>
        <v>8</v>
      </c>
      <c r="AM8" s="38">
        <f t="shared" si="4"/>
        <v>0</v>
      </c>
      <c r="AN8" s="39">
        <f t="shared" si="5"/>
        <v>0</v>
      </c>
      <c r="AO8" s="33">
        <f t="shared" si="6"/>
        <v>22</v>
      </c>
      <c r="AP8" s="40">
        <f>AI8*Configuración!$E$6+AJ8*Configuración!$E$7+AK8*Configuración!$E$8</f>
        <v>176</v>
      </c>
      <c r="AQ8" s="40">
        <f>IFERROR(INDEX(Configuración!$D$17:$D$24,MATCH(A8,Configuración!$A$17:$A$24,0)),0)</f>
        <v>160</v>
      </c>
      <c r="AR8" s="41">
        <f t="shared" si="7"/>
        <v>16</v>
      </c>
    </row>
    <row r="9" spans="1:44" ht="15.75" customHeight="1" x14ac:dyDescent="0.25">
      <c r="A9" s="33" t="s">
        <v>37</v>
      </c>
      <c r="B9" s="34" t="str">
        <f>IFERROR(INDEX(Configuración!$B$17:$B$24,MATCH(A9,Configuración!$A$17:$A$24,0)),"")</f>
        <v>Óscar Villar</v>
      </c>
      <c r="C9" s="35" t="str">
        <f>IFERROR(INDEX(Configuración!$C$17:$C$24,MATCH(A9,Configuración!$A$17:$A$24,0)),"")</f>
        <v>Logística</v>
      </c>
      <c r="D9" s="33" t="s">
        <v>11</v>
      </c>
      <c r="E9" s="33" t="s">
        <v>14</v>
      </c>
      <c r="F9" s="33" t="s">
        <v>14</v>
      </c>
      <c r="G9" s="33" t="s">
        <v>16</v>
      </c>
      <c r="H9" s="33" t="s">
        <v>16</v>
      </c>
      <c r="I9" s="33" t="s">
        <v>7</v>
      </c>
      <c r="J9" s="33" t="s">
        <v>7</v>
      </c>
      <c r="K9" s="33" t="s">
        <v>11</v>
      </c>
      <c r="L9" s="33" t="s">
        <v>11</v>
      </c>
      <c r="M9" s="33" t="s">
        <v>14</v>
      </c>
      <c r="N9" s="33" t="s">
        <v>14</v>
      </c>
      <c r="O9" s="33" t="s">
        <v>16</v>
      </c>
      <c r="P9" s="33" t="s">
        <v>16</v>
      </c>
      <c r="Q9" s="33" t="s">
        <v>7</v>
      </c>
      <c r="R9" s="33" t="s">
        <v>7</v>
      </c>
      <c r="S9" s="33" t="s">
        <v>11</v>
      </c>
      <c r="T9" s="33" t="s">
        <v>11</v>
      </c>
      <c r="U9" s="33" t="s">
        <v>14</v>
      </c>
      <c r="V9" s="33" t="s">
        <v>14</v>
      </c>
      <c r="W9" s="33" t="s">
        <v>16</v>
      </c>
      <c r="X9" s="33" t="s">
        <v>16</v>
      </c>
      <c r="Y9" s="33" t="s">
        <v>7</v>
      </c>
      <c r="Z9" s="33" t="s">
        <v>7</v>
      </c>
      <c r="AA9" s="33" t="s">
        <v>11</v>
      </c>
      <c r="AB9" s="33" t="s">
        <v>11</v>
      </c>
      <c r="AC9" s="33" t="s">
        <v>14</v>
      </c>
      <c r="AD9" s="33" t="s">
        <v>14</v>
      </c>
      <c r="AE9" s="33" t="s">
        <v>16</v>
      </c>
      <c r="AF9" s="33" t="s">
        <v>16</v>
      </c>
      <c r="AG9" s="33" t="s">
        <v>7</v>
      </c>
      <c r="AH9" s="33"/>
      <c r="AI9" s="36">
        <f t="shared" si="0"/>
        <v>7</v>
      </c>
      <c r="AJ9" s="36">
        <f t="shared" si="1"/>
        <v>7</v>
      </c>
      <c r="AK9" s="36">
        <f t="shared" si="2"/>
        <v>8</v>
      </c>
      <c r="AL9" s="37">
        <f t="shared" si="3"/>
        <v>8</v>
      </c>
      <c r="AM9" s="38">
        <f t="shared" si="4"/>
        <v>0</v>
      </c>
      <c r="AN9" s="39">
        <f t="shared" si="5"/>
        <v>0</v>
      </c>
      <c r="AO9" s="33">
        <f t="shared" si="6"/>
        <v>22</v>
      </c>
      <c r="AP9" s="40">
        <f>AI9*Configuración!$E$6+AJ9*Configuración!$E$7+AK9*Configuración!$E$8</f>
        <v>176</v>
      </c>
      <c r="AQ9" s="40">
        <f>IFERROR(INDEX(Configuración!$D$17:$D$24,MATCH(A9,Configuración!$A$17:$A$24,0)),0)</f>
        <v>160</v>
      </c>
      <c r="AR9" s="41">
        <f t="shared" si="7"/>
        <v>16</v>
      </c>
    </row>
    <row r="10" spans="1:44" ht="15.75" customHeight="1" x14ac:dyDescent="0.25">
      <c r="A10" s="33" t="s">
        <v>40</v>
      </c>
      <c r="B10" s="34" t="str">
        <f>IFERROR(INDEX(Configuración!$B$17:$B$24,MATCH(A10,Configuración!$A$17:$A$24,0)),"")</f>
        <v>Elena Prados</v>
      </c>
      <c r="C10" s="35" t="str">
        <f>IFERROR(INDEX(Configuración!$C$17:$C$24,MATCH(A10,Configuración!$A$17:$A$24,0)),"")</f>
        <v>Logística</v>
      </c>
      <c r="D10" s="33" t="s">
        <v>14</v>
      </c>
      <c r="E10" s="33" t="s">
        <v>14</v>
      </c>
      <c r="F10" s="33" t="s">
        <v>16</v>
      </c>
      <c r="G10" s="33" t="s">
        <v>16</v>
      </c>
      <c r="H10" s="33" t="s">
        <v>7</v>
      </c>
      <c r="I10" s="33" t="s">
        <v>7</v>
      </c>
      <c r="J10" s="33" t="s">
        <v>11</v>
      </c>
      <c r="K10" s="33" t="s">
        <v>19</v>
      </c>
      <c r="L10" s="33" t="s">
        <v>19</v>
      </c>
      <c r="M10" s="33" t="s">
        <v>19</v>
      </c>
      <c r="N10" s="33" t="s">
        <v>19</v>
      </c>
      <c r="O10" s="33" t="s">
        <v>19</v>
      </c>
      <c r="P10" s="33" t="s">
        <v>19</v>
      </c>
      <c r="Q10" s="33" t="s">
        <v>19</v>
      </c>
      <c r="R10" s="33" t="s">
        <v>11</v>
      </c>
      <c r="S10" s="33" t="s">
        <v>11</v>
      </c>
      <c r="T10" s="33" t="s">
        <v>14</v>
      </c>
      <c r="U10" s="33" t="s">
        <v>14</v>
      </c>
      <c r="V10" s="33" t="s">
        <v>16</v>
      </c>
      <c r="W10" s="33" t="s">
        <v>16</v>
      </c>
      <c r="X10" s="33" t="s">
        <v>7</v>
      </c>
      <c r="Y10" s="33" t="s">
        <v>7</v>
      </c>
      <c r="Z10" s="33" t="s">
        <v>11</v>
      </c>
      <c r="AA10" s="33" t="s">
        <v>11</v>
      </c>
      <c r="AB10" s="33" t="s">
        <v>14</v>
      </c>
      <c r="AC10" s="33" t="s">
        <v>14</v>
      </c>
      <c r="AD10" s="33" t="s">
        <v>16</v>
      </c>
      <c r="AE10" s="33" t="s">
        <v>16</v>
      </c>
      <c r="AF10" s="33" t="s">
        <v>7</v>
      </c>
      <c r="AG10" s="33" t="s">
        <v>7</v>
      </c>
      <c r="AH10" s="33"/>
      <c r="AI10" s="36">
        <f t="shared" si="0"/>
        <v>6</v>
      </c>
      <c r="AJ10" s="36">
        <f t="shared" si="1"/>
        <v>5</v>
      </c>
      <c r="AK10" s="36">
        <f t="shared" si="2"/>
        <v>6</v>
      </c>
      <c r="AL10" s="37">
        <f t="shared" si="3"/>
        <v>6</v>
      </c>
      <c r="AM10" s="38">
        <f t="shared" si="4"/>
        <v>7</v>
      </c>
      <c r="AN10" s="39">
        <f t="shared" si="5"/>
        <v>0</v>
      </c>
      <c r="AO10" s="33">
        <f t="shared" si="6"/>
        <v>17</v>
      </c>
      <c r="AP10" s="40">
        <f>AI10*Configuración!$E$6+AJ10*Configuración!$E$7+AK10*Configuración!$E$8</f>
        <v>136</v>
      </c>
      <c r="AQ10" s="40">
        <f>IFERROR(INDEX(Configuración!$D$17:$D$24,MATCH(A10,Configuración!$A$17:$A$24,0)),0)</f>
        <v>160</v>
      </c>
      <c r="AR10" s="41">
        <f t="shared" si="7"/>
        <v>-24</v>
      </c>
    </row>
    <row r="11" spans="1:44" ht="15.75" customHeight="1" x14ac:dyDescent="0.25">
      <c r="A11" s="33" t="s">
        <v>42</v>
      </c>
      <c r="B11" s="34" t="str">
        <f>IFERROR(INDEX(Configuración!$B$17:$B$24,MATCH(A11,Configuración!$A$17:$A$24,0)),"")</f>
        <v>Rubén Aguado</v>
      </c>
      <c r="C11" s="35" t="str">
        <f>IFERROR(INDEX(Configuración!$C$17:$C$24,MATCH(A11,Configuración!$A$17:$A$24,0)),"")</f>
        <v>Logística</v>
      </c>
      <c r="D11" s="33" t="s">
        <v>14</v>
      </c>
      <c r="E11" s="33" t="s">
        <v>16</v>
      </c>
      <c r="F11" s="33" t="s">
        <v>16</v>
      </c>
      <c r="G11" s="33" t="s">
        <v>7</v>
      </c>
      <c r="H11" s="33" t="s">
        <v>7</v>
      </c>
      <c r="I11" s="33" t="s">
        <v>11</v>
      </c>
      <c r="J11" s="33" t="s">
        <v>11</v>
      </c>
      <c r="K11" s="33" t="s">
        <v>14</v>
      </c>
      <c r="L11" s="33" t="s">
        <v>14</v>
      </c>
      <c r="M11" s="33" t="s">
        <v>16</v>
      </c>
      <c r="N11" s="33" t="s">
        <v>16</v>
      </c>
      <c r="O11" s="33" t="s">
        <v>7</v>
      </c>
      <c r="P11" s="33" t="s">
        <v>7</v>
      </c>
      <c r="Q11" s="33" t="s">
        <v>11</v>
      </c>
      <c r="R11" s="33" t="s">
        <v>11</v>
      </c>
      <c r="S11" s="33" t="s">
        <v>14</v>
      </c>
      <c r="T11" s="33" t="s">
        <v>14</v>
      </c>
      <c r="U11" s="33" t="s">
        <v>16</v>
      </c>
      <c r="V11" s="33" t="s">
        <v>16</v>
      </c>
      <c r="W11" s="33" t="s">
        <v>7</v>
      </c>
      <c r="X11" s="33" t="s">
        <v>7</v>
      </c>
      <c r="Y11" s="33" t="s">
        <v>11</v>
      </c>
      <c r="Z11" s="33" t="s">
        <v>11</v>
      </c>
      <c r="AA11" s="33" t="s">
        <v>14</v>
      </c>
      <c r="AB11" s="33" t="s">
        <v>14</v>
      </c>
      <c r="AC11" s="33" t="s">
        <v>16</v>
      </c>
      <c r="AD11" s="33" t="s">
        <v>16</v>
      </c>
      <c r="AE11" s="33" t="s">
        <v>7</v>
      </c>
      <c r="AF11" s="33" t="s">
        <v>7</v>
      </c>
      <c r="AG11" s="33" t="s">
        <v>11</v>
      </c>
      <c r="AH11" s="33"/>
      <c r="AI11" s="36">
        <f t="shared" si="0"/>
        <v>8</v>
      </c>
      <c r="AJ11" s="36">
        <f t="shared" si="1"/>
        <v>7</v>
      </c>
      <c r="AK11" s="36">
        <f t="shared" si="2"/>
        <v>7</v>
      </c>
      <c r="AL11" s="37">
        <f t="shared" si="3"/>
        <v>8</v>
      </c>
      <c r="AM11" s="38">
        <f t="shared" si="4"/>
        <v>0</v>
      </c>
      <c r="AN11" s="39">
        <f t="shared" si="5"/>
        <v>0</v>
      </c>
      <c r="AO11" s="33">
        <f t="shared" si="6"/>
        <v>22</v>
      </c>
      <c r="AP11" s="40">
        <f>AI11*Configuración!$E$6+AJ11*Configuración!$E$7+AK11*Configuración!$E$8</f>
        <v>176</v>
      </c>
      <c r="AQ11" s="40">
        <f>IFERROR(INDEX(Configuración!$D$17:$D$24,MATCH(A11,Configuración!$A$17:$A$24,0)),0)</f>
        <v>120</v>
      </c>
      <c r="AR11" s="41">
        <f t="shared" si="7"/>
        <v>56</v>
      </c>
    </row>
    <row r="12" spans="1:44" ht="15.75" customHeight="1" x14ac:dyDescent="0.25">
      <c r="A12" s="33" t="s">
        <v>44</v>
      </c>
      <c r="B12" s="34" t="str">
        <f>IFERROR(INDEX(Configuración!$B$17:$B$24,MATCH(A12,Configuración!$A$17:$A$24,0)),"")</f>
        <v>Clara Montoya</v>
      </c>
      <c r="C12" s="35" t="str">
        <f>IFERROR(INDEX(Configuración!$C$17:$C$24,MATCH(A12,Configuración!$A$17:$A$24,0)),"")</f>
        <v>Atención</v>
      </c>
      <c r="D12" s="33" t="s">
        <v>16</v>
      </c>
      <c r="E12" s="33" t="s">
        <v>16</v>
      </c>
      <c r="F12" s="33" t="s">
        <v>7</v>
      </c>
      <c r="G12" s="33" t="s">
        <v>7</v>
      </c>
      <c r="H12" s="33" t="s">
        <v>11</v>
      </c>
      <c r="I12" s="33" t="s">
        <v>11</v>
      </c>
      <c r="J12" s="33" t="s">
        <v>14</v>
      </c>
      <c r="K12" s="33" t="s">
        <v>14</v>
      </c>
      <c r="L12" s="33" t="s">
        <v>16</v>
      </c>
      <c r="M12" s="33" t="s">
        <v>16</v>
      </c>
      <c r="N12" s="33" t="s">
        <v>7</v>
      </c>
      <c r="O12" s="33" t="s">
        <v>7</v>
      </c>
      <c r="P12" s="33" t="s">
        <v>11</v>
      </c>
      <c r="Q12" s="33" t="s">
        <v>11</v>
      </c>
      <c r="R12" s="33" t="s">
        <v>14</v>
      </c>
      <c r="S12" s="33" t="s">
        <v>14</v>
      </c>
      <c r="T12" s="33" t="s">
        <v>16</v>
      </c>
      <c r="U12" s="33" t="s">
        <v>16</v>
      </c>
      <c r="V12" s="33" t="s">
        <v>7</v>
      </c>
      <c r="W12" s="33" t="s">
        <v>7</v>
      </c>
      <c r="X12" s="33" t="s">
        <v>11</v>
      </c>
      <c r="Y12" s="33" t="s">
        <v>11</v>
      </c>
      <c r="Z12" s="33" t="s">
        <v>14</v>
      </c>
      <c r="AA12" s="33" t="s">
        <v>14</v>
      </c>
      <c r="AB12" s="33" t="s">
        <v>16</v>
      </c>
      <c r="AC12" s="33" t="s">
        <v>16</v>
      </c>
      <c r="AD12" s="33" t="s">
        <v>7</v>
      </c>
      <c r="AE12" s="33" t="s">
        <v>7</v>
      </c>
      <c r="AF12" s="33" t="s">
        <v>11</v>
      </c>
      <c r="AG12" s="33" t="s">
        <v>11</v>
      </c>
      <c r="AH12" s="33"/>
      <c r="AI12" s="36">
        <f t="shared" si="0"/>
        <v>8</v>
      </c>
      <c r="AJ12" s="36">
        <f t="shared" si="1"/>
        <v>8</v>
      </c>
      <c r="AK12" s="36">
        <f t="shared" si="2"/>
        <v>6</v>
      </c>
      <c r="AL12" s="37">
        <f t="shared" si="3"/>
        <v>8</v>
      </c>
      <c r="AM12" s="38">
        <f t="shared" si="4"/>
        <v>0</v>
      </c>
      <c r="AN12" s="39">
        <f t="shared" si="5"/>
        <v>0</v>
      </c>
      <c r="AO12" s="33">
        <f t="shared" si="6"/>
        <v>22</v>
      </c>
      <c r="AP12" s="40">
        <f>AI12*Configuración!$E$6+AJ12*Configuración!$E$7+AK12*Configuración!$E$8</f>
        <v>176</v>
      </c>
      <c r="AQ12" s="40">
        <f>IFERROR(INDEX(Configuración!$D$17:$D$24,MATCH(A12,Configuración!$A$17:$A$24,0)),0)</f>
        <v>160</v>
      </c>
      <c r="AR12" s="41">
        <f t="shared" si="7"/>
        <v>16</v>
      </c>
    </row>
    <row r="13" spans="1:44" ht="15.75" customHeight="1" x14ac:dyDescent="0.25">
      <c r="A13" s="33" t="s">
        <v>47</v>
      </c>
      <c r="B13" s="34" t="str">
        <f>IFERROR(INDEX(Configuración!$B$17:$B$24,MATCH(A13,Configuración!$A$17:$A$24,0)),"")</f>
        <v>Diego Sáez</v>
      </c>
      <c r="C13" s="35" t="str">
        <f>IFERROR(INDEX(Configuración!$C$17:$C$24,MATCH(A13,Configuración!$A$17:$A$24,0)),"")</f>
        <v>Atención</v>
      </c>
      <c r="D13" s="33" t="s">
        <v>16</v>
      </c>
      <c r="E13" s="33" t="s">
        <v>7</v>
      </c>
      <c r="F13" s="33" t="s">
        <v>7</v>
      </c>
      <c r="G13" s="33" t="s">
        <v>11</v>
      </c>
      <c r="H13" s="33" t="s">
        <v>11</v>
      </c>
      <c r="I13" s="33" t="s">
        <v>14</v>
      </c>
      <c r="J13" s="33" t="s">
        <v>14</v>
      </c>
      <c r="K13" s="33" t="s">
        <v>16</v>
      </c>
      <c r="L13" s="33" t="s">
        <v>16</v>
      </c>
      <c r="M13" s="33" t="s">
        <v>7</v>
      </c>
      <c r="N13" s="33" t="s">
        <v>7</v>
      </c>
      <c r="O13" s="33" t="s">
        <v>11</v>
      </c>
      <c r="P13" s="33" t="s">
        <v>11</v>
      </c>
      <c r="Q13" s="33" t="s">
        <v>14</v>
      </c>
      <c r="R13" s="33" t="s">
        <v>14</v>
      </c>
      <c r="S13" s="33" t="s">
        <v>16</v>
      </c>
      <c r="T13" s="33" t="s">
        <v>16</v>
      </c>
      <c r="U13" s="33" t="s">
        <v>7</v>
      </c>
      <c r="V13" s="33" t="s">
        <v>7</v>
      </c>
      <c r="W13" s="33" t="s">
        <v>11</v>
      </c>
      <c r="X13" s="33" t="s">
        <v>11</v>
      </c>
      <c r="Y13" s="33" t="s">
        <v>21</v>
      </c>
      <c r="Z13" s="33" t="s">
        <v>21</v>
      </c>
      <c r="AA13" s="33" t="s">
        <v>21</v>
      </c>
      <c r="AB13" s="33" t="s">
        <v>16</v>
      </c>
      <c r="AC13" s="33" t="s">
        <v>7</v>
      </c>
      <c r="AD13" s="33" t="s">
        <v>7</v>
      </c>
      <c r="AE13" s="33" t="s">
        <v>11</v>
      </c>
      <c r="AF13" s="33" t="s">
        <v>11</v>
      </c>
      <c r="AG13" s="33" t="s">
        <v>14</v>
      </c>
      <c r="AH13" s="33"/>
      <c r="AI13" s="36">
        <f t="shared" si="0"/>
        <v>8</v>
      </c>
      <c r="AJ13" s="36">
        <f t="shared" si="1"/>
        <v>8</v>
      </c>
      <c r="AK13" s="36">
        <f t="shared" si="2"/>
        <v>5</v>
      </c>
      <c r="AL13" s="37">
        <f t="shared" si="3"/>
        <v>6</v>
      </c>
      <c r="AM13" s="38">
        <f t="shared" si="4"/>
        <v>0</v>
      </c>
      <c r="AN13" s="39">
        <f t="shared" si="5"/>
        <v>3</v>
      </c>
      <c r="AO13" s="33">
        <f t="shared" si="6"/>
        <v>21</v>
      </c>
      <c r="AP13" s="40">
        <f>AI13*Configuración!$E$6+AJ13*Configuración!$E$7+AK13*Configuración!$E$8</f>
        <v>168</v>
      </c>
      <c r="AQ13" s="40">
        <f>IFERROR(INDEX(Configuración!$D$17:$D$24,MATCH(A13,Configuración!$A$17:$A$24,0)),0)</f>
        <v>140</v>
      </c>
      <c r="AR13" s="41">
        <f t="shared" si="7"/>
        <v>28</v>
      </c>
    </row>
    <row r="15" spans="1:44" ht="15" customHeight="1" x14ac:dyDescent="0.25">
      <c r="A15" s="5" t="s">
        <v>64</v>
      </c>
      <c r="B15" s="5"/>
      <c r="C15" s="5"/>
      <c r="D15" s="33">
        <f t="shared" ref="D15:AH15" si="8">IF(D4="","",COUNTIF(D6:D13,"M"))</f>
        <v>2</v>
      </c>
      <c r="E15" s="33">
        <f t="shared" si="8"/>
        <v>2</v>
      </c>
      <c r="F15" s="33">
        <f t="shared" si="8"/>
        <v>2</v>
      </c>
      <c r="G15" s="33">
        <f t="shared" si="8"/>
        <v>2</v>
      </c>
      <c r="H15" s="33">
        <f t="shared" si="8"/>
        <v>2</v>
      </c>
      <c r="I15" s="33">
        <f t="shared" si="8"/>
        <v>2</v>
      </c>
      <c r="J15" s="33">
        <f t="shared" si="8"/>
        <v>2</v>
      </c>
      <c r="K15" s="33">
        <f t="shared" si="8"/>
        <v>2</v>
      </c>
      <c r="L15" s="33">
        <f t="shared" si="8"/>
        <v>2</v>
      </c>
      <c r="M15" s="33">
        <f t="shared" si="8"/>
        <v>2</v>
      </c>
      <c r="N15" s="33">
        <f t="shared" si="8"/>
        <v>2</v>
      </c>
      <c r="O15" s="33">
        <f t="shared" si="8"/>
        <v>2</v>
      </c>
      <c r="P15" s="33">
        <f t="shared" si="8"/>
        <v>1</v>
      </c>
      <c r="Q15" s="33">
        <f t="shared" si="8"/>
        <v>1</v>
      </c>
      <c r="R15" s="33">
        <f t="shared" si="8"/>
        <v>2</v>
      </c>
      <c r="S15" s="33">
        <f t="shared" si="8"/>
        <v>2</v>
      </c>
      <c r="T15" s="33">
        <f t="shared" si="8"/>
        <v>2</v>
      </c>
      <c r="U15" s="33">
        <f t="shared" si="8"/>
        <v>2</v>
      </c>
      <c r="V15" s="33">
        <f t="shared" si="8"/>
        <v>2</v>
      </c>
      <c r="W15" s="33">
        <f t="shared" si="8"/>
        <v>2</v>
      </c>
      <c r="X15" s="33">
        <f t="shared" si="8"/>
        <v>2</v>
      </c>
      <c r="Y15" s="33">
        <f t="shared" si="8"/>
        <v>2</v>
      </c>
      <c r="Z15" s="33">
        <f t="shared" si="8"/>
        <v>2</v>
      </c>
      <c r="AA15" s="33">
        <f t="shared" si="8"/>
        <v>2</v>
      </c>
      <c r="AB15" s="33">
        <f t="shared" si="8"/>
        <v>2</v>
      </c>
      <c r="AC15" s="33">
        <f t="shared" si="8"/>
        <v>2</v>
      </c>
      <c r="AD15" s="33">
        <f t="shared" si="8"/>
        <v>2</v>
      </c>
      <c r="AE15" s="33">
        <f t="shared" si="8"/>
        <v>2</v>
      </c>
      <c r="AF15" s="33">
        <f t="shared" si="8"/>
        <v>2</v>
      </c>
      <c r="AG15" s="33">
        <f t="shared" si="8"/>
        <v>2</v>
      </c>
      <c r="AH15" s="33" t="str">
        <f t="shared" si="8"/>
        <v/>
      </c>
    </row>
    <row r="16" spans="1:44" ht="15" customHeight="1" x14ac:dyDescent="0.25">
      <c r="A16" s="4" t="s">
        <v>65</v>
      </c>
      <c r="B16" s="4"/>
      <c r="C16" s="4"/>
      <c r="D16" s="33">
        <f t="shared" ref="D16:AH16" si="9">IF(D4="","",COUNTIF(D6:D13,"T"))</f>
        <v>2</v>
      </c>
      <c r="E16" s="33">
        <f t="shared" si="9"/>
        <v>2</v>
      </c>
      <c r="F16" s="33">
        <f t="shared" si="9"/>
        <v>2</v>
      </c>
      <c r="G16" s="33">
        <f t="shared" si="9"/>
        <v>2</v>
      </c>
      <c r="H16" s="33">
        <f t="shared" si="9"/>
        <v>2</v>
      </c>
      <c r="I16" s="33">
        <f t="shared" si="9"/>
        <v>2</v>
      </c>
      <c r="J16" s="33">
        <f t="shared" si="9"/>
        <v>2</v>
      </c>
      <c r="K16" s="33">
        <f t="shared" si="9"/>
        <v>1</v>
      </c>
      <c r="L16" s="33">
        <f t="shared" si="9"/>
        <v>2</v>
      </c>
      <c r="M16" s="33">
        <f t="shared" si="9"/>
        <v>2</v>
      </c>
      <c r="N16" s="33">
        <f t="shared" si="9"/>
        <v>2</v>
      </c>
      <c r="O16" s="33">
        <f t="shared" si="9"/>
        <v>2</v>
      </c>
      <c r="P16" s="33">
        <f t="shared" si="9"/>
        <v>2</v>
      </c>
      <c r="Q16" s="33">
        <f t="shared" si="9"/>
        <v>2</v>
      </c>
      <c r="R16" s="33">
        <f t="shared" si="9"/>
        <v>2</v>
      </c>
      <c r="S16" s="33">
        <f t="shared" si="9"/>
        <v>2</v>
      </c>
      <c r="T16" s="33">
        <f t="shared" si="9"/>
        <v>2</v>
      </c>
      <c r="U16" s="33">
        <f t="shared" si="9"/>
        <v>2</v>
      </c>
      <c r="V16" s="33">
        <f t="shared" si="9"/>
        <v>2</v>
      </c>
      <c r="W16" s="33">
        <f t="shared" si="9"/>
        <v>2</v>
      </c>
      <c r="X16" s="33">
        <f t="shared" si="9"/>
        <v>2</v>
      </c>
      <c r="Y16" s="33">
        <f t="shared" si="9"/>
        <v>2</v>
      </c>
      <c r="Z16" s="33">
        <f t="shared" si="9"/>
        <v>2</v>
      </c>
      <c r="AA16" s="33">
        <f t="shared" si="9"/>
        <v>2</v>
      </c>
      <c r="AB16" s="33">
        <f t="shared" si="9"/>
        <v>2</v>
      </c>
      <c r="AC16" s="33">
        <f t="shared" si="9"/>
        <v>2</v>
      </c>
      <c r="AD16" s="33">
        <f t="shared" si="9"/>
        <v>2</v>
      </c>
      <c r="AE16" s="33">
        <f t="shared" si="9"/>
        <v>2</v>
      </c>
      <c r="AF16" s="33">
        <f t="shared" si="9"/>
        <v>2</v>
      </c>
      <c r="AG16" s="33">
        <f t="shared" si="9"/>
        <v>2</v>
      </c>
      <c r="AH16" s="33" t="str">
        <f t="shared" si="9"/>
        <v/>
      </c>
    </row>
    <row r="17" spans="1:34" ht="15" customHeight="1" x14ac:dyDescent="0.25">
      <c r="A17" s="3" t="s">
        <v>66</v>
      </c>
      <c r="B17" s="3"/>
      <c r="C17" s="3"/>
      <c r="D17" s="33">
        <f t="shared" ref="D17:AH17" si="10">IF(D4="","",COUNTIF(D6:D13,"N"))</f>
        <v>2</v>
      </c>
      <c r="E17" s="33">
        <f t="shared" si="10"/>
        <v>2</v>
      </c>
      <c r="F17" s="33">
        <f t="shared" si="10"/>
        <v>2</v>
      </c>
      <c r="G17" s="33">
        <f t="shared" si="10"/>
        <v>2</v>
      </c>
      <c r="H17" s="33">
        <f t="shared" si="10"/>
        <v>2</v>
      </c>
      <c r="I17" s="33">
        <f t="shared" si="10"/>
        <v>2</v>
      </c>
      <c r="J17" s="33">
        <f t="shared" si="10"/>
        <v>2</v>
      </c>
      <c r="K17" s="33">
        <f t="shared" si="10"/>
        <v>2</v>
      </c>
      <c r="L17" s="33">
        <f t="shared" si="10"/>
        <v>1</v>
      </c>
      <c r="M17" s="33">
        <f t="shared" si="10"/>
        <v>1</v>
      </c>
      <c r="N17" s="33">
        <f t="shared" si="10"/>
        <v>2</v>
      </c>
      <c r="O17" s="33">
        <f t="shared" si="10"/>
        <v>2</v>
      </c>
      <c r="P17" s="33">
        <f t="shared" si="10"/>
        <v>2</v>
      </c>
      <c r="Q17" s="33">
        <f t="shared" si="10"/>
        <v>2</v>
      </c>
      <c r="R17" s="33">
        <f t="shared" si="10"/>
        <v>2</v>
      </c>
      <c r="S17" s="33">
        <f t="shared" si="10"/>
        <v>2</v>
      </c>
      <c r="T17" s="33">
        <f t="shared" si="10"/>
        <v>2</v>
      </c>
      <c r="U17" s="33">
        <f t="shared" si="10"/>
        <v>2</v>
      </c>
      <c r="V17" s="33">
        <f t="shared" si="10"/>
        <v>2</v>
      </c>
      <c r="W17" s="33">
        <f t="shared" si="10"/>
        <v>2</v>
      </c>
      <c r="X17" s="33">
        <f t="shared" si="10"/>
        <v>2</v>
      </c>
      <c r="Y17" s="33">
        <f t="shared" si="10"/>
        <v>1</v>
      </c>
      <c r="Z17" s="33">
        <f t="shared" si="10"/>
        <v>1</v>
      </c>
      <c r="AA17" s="33">
        <f t="shared" si="10"/>
        <v>2</v>
      </c>
      <c r="AB17" s="33">
        <f t="shared" si="10"/>
        <v>2</v>
      </c>
      <c r="AC17" s="33">
        <f t="shared" si="10"/>
        <v>2</v>
      </c>
      <c r="AD17" s="33">
        <f t="shared" si="10"/>
        <v>2</v>
      </c>
      <c r="AE17" s="33">
        <f t="shared" si="10"/>
        <v>2</v>
      </c>
      <c r="AF17" s="33">
        <f t="shared" si="10"/>
        <v>2</v>
      </c>
      <c r="AG17" s="33">
        <f t="shared" si="10"/>
        <v>2</v>
      </c>
      <c r="AH17" s="33" t="str">
        <f t="shared" si="10"/>
        <v/>
      </c>
    </row>
    <row r="18" spans="1:34" ht="15" customHeight="1" x14ac:dyDescent="0.25">
      <c r="A18" s="2" t="s">
        <v>67</v>
      </c>
      <c r="B18" s="2"/>
      <c r="C18" s="2"/>
      <c r="D18" s="42">
        <f t="shared" ref="D18:AH18" si="11">IF(D4="","",D15+D16+D17)</f>
        <v>6</v>
      </c>
      <c r="E18" s="42">
        <f t="shared" si="11"/>
        <v>6</v>
      </c>
      <c r="F18" s="42">
        <f t="shared" si="11"/>
        <v>6</v>
      </c>
      <c r="G18" s="42">
        <f t="shared" si="11"/>
        <v>6</v>
      </c>
      <c r="H18" s="42">
        <f t="shared" si="11"/>
        <v>6</v>
      </c>
      <c r="I18" s="42">
        <f t="shared" si="11"/>
        <v>6</v>
      </c>
      <c r="J18" s="42">
        <f t="shared" si="11"/>
        <v>6</v>
      </c>
      <c r="K18" s="42">
        <f t="shared" si="11"/>
        <v>5</v>
      </c>
      <c r="L18" s="42">
        <f t="shared" si="11"/>
        <v>5</v>
      </c>
      <c r="M18" s="42">
        <f t="shared" si="11"/>
        <v>5</v>
      </c>
      <c r="N18" s="42">
        <f t="shared" si="11"/>
        <v>6</v>
      </c>
      <c r="O18" s="42">
        <f t="shared" si="11"/>
        <v>6</v>
      </c>
      <c r="P18" s="42">
        <f t="shared" si="11"/>
        <v>5</v>
      </c>
      <c r="Q18" s="42">
        <f t="shared" si="11"/>
        <v>5</v>
      </c>
      <c r="R18" s="42">
        <f t="shared" si="11"/>
        <v>6</v>
      </c>
      <c r="S18" s="42">
        <f t="shared" si="11"/>
        <v>6</v>
      </c>
      <c r="T18" s="42">
        <f t="shared" si="11"/>
        <v>6</v>
      </c>
      <c r="U18" s="42">
        <f t="shared" si="11"/>
        <v>6</v>
      </c>
      <c r="V18" s="42">
        <f t="shared" si="11"/>
        <v>6</v>
      </c>
      <c r="W18" s="42">
        <f t="shared" si="11"/>
        <v>6</v>
      </c>
      <c r="X18" s="42">
        <f t="shared" si="11"/>
        <v>6</v>
      </c>
      <c r="Y18" s="42">
        <f t="shared" si="11"/>
        <v>5</v>
      </c>
      <c r="Z18" s="42">
        <f t="shared" si="11"/>
        <v>5</v>
      </c>
      <c r="AA18" s="42">
        <f t="shared" si="11"/>
        <v>6</v>
      </c>
      <c r="AB18" s="42">
        <f t="shared" si="11"/>
        <v>6</v>
      </c>
      <c r="AC18" s="42">
        <f t="shared" si="11"/>
        <v>6</v>
      </c>
      <c r="AD18" s="42">
        <f t="shared" si="11"/>
        <v>6</v>
      </c>
      <c r="AE18" s="42">
        <f t="shared" si="11"/>
        <v>6</v>
      </c>
      <c r="AF18" s="42">
        <f t="shared" si="11"/>
        <v>6</v>
      </c>
      <c r="AG18" s="42">
        <f t="shared" si="11"/>
        <v>6</v>
      </c>
      <c r="AH18" s="42" t="str">
        <f t="shared" si="11"/>
        <v/>
      </c>
    </row>
    <row r="19" spans="1:34" ht="15" customHeight="1" x14ac:dyDescent="0.25">
      <c r="A19" s="2" t="s">
        <v>68</v>
      </c>
      <c r="B19" s="2"/>
      <c r="C19" s="2"/>
      <c r="D19" s="37">
        <f t="shared" ref="D19:AH19" si="12">IF(D4="","",COUNTIF(D6:D13,"L")+COUNTIF(D6:D13,"V")+COUNTIF(D6:D13,"B"))</f>
        <v>2</v>
      </c>
      <c r="E19" s="37">
        <f t="shared" si="12"/>
        <v>2</v>
      </c>
      <c r="F19" s="37">
        <f t="shared" si="12"/>
        <v>2</v>
      </c>
      <c r="G19" s="37">
        <f t="shared" si="12"/>
        <v>2</v>
      </c>
      <c r="H19" s="37">
        <f t="shared" si="12"/>
        <v>2</v>
      </c>
      <c r="I19" s="37">
        <f t="shared" si="12"/>
        <v>2</v>
      </c>
      <c r="J19" s="37">
        <f t="shared" si="12"/>
        <v>2</v>
      </c>
      <c r="K19" s="37">
        <f t="shared" si="12"/>
        <v>3</v>
      </c>
      <c r="L19" s="37">
        <f t="shared" si="12"/>
        <v>3</v>
      </c>
      <c r="M19" s="37">
        <f t="shared" si="12"/>
        <v>3</v>
      </c>
      <c r="N19" s="37">
        <f t="shared" si="12"/>
        <v>2</v>
      </c>
      <c r="O19" s="37">
        <f t="shared" si="12"/>
        <v>2</v>
      </c>
      <c r="P19" s="37">
        <f t="shared" si="12"/>
        <v>3</v>
      </c>
      <c r="Q19" s="37">
        <f t="shared" si="12"/>
        <v>3</v>
      </c>
      <c r="R19" s="37">
        <f t="shared" si="12"/>
        <v>2</v>
      </c>
      <c r="S19" s="37">
        <f t="shared" si="12"/>
        <v>2</v>
      </c>
      <c r="T19" s="37">
        <f t="shared" si="12"/>
        <v>2</v>
      </c>
      <c r="U19" s="37">
        <f t="shared" si="12"/>
        <v>2</v>
      </c>
      <c r="V19" s="37">
        <f t="shared" si="12"/>
        <v>2</v>
      </c>
      <c r="W19" s="37">
        <f t="shared" si="12"/>
        <v>2</v>
      </c>
      <c r="X19" s="37">
        <f t="shared" si="12"/>
        <v>2</v>
      </c>
      <c r="Y19" s="37">
        <f t="shared" si="12"/>
        <v>3</v>
      </c>
      <c r="Z19" s="37">
        <f t="shared" si="12"/>
        <v>3</v>
      </c>
      <c r="AA19" s="37">
        <f t="shared" si="12"/>
        <v>2</v>
      </c>
      <c r="AB19" s="37">
        <f t="shared" si="12"/>
        <v>2</v>
      </c>
      <c r="AC19" s="37">
        <f t="shared" si="12"/>
        <v>2</v>
      </c>
      <c r="AD19" s="37">
        <f t="shared" si="12"/>
        <v>2</v>
      </c>
      <c r="AE19" s="37">
        <f t="shared" si="12"/>
        <v>2</v>
      </c>
      <c r="AF19" s="37">
        <f t="shared" si="12"/>
        <v>2</v>
      </c>
      <c r="AG19" s="37">
        <f t="shared" si="12"/>
        <v>2</v>
      </c>
      <c r="AH19" s="37" t="str">
        <f t="shared" si="12"/>
        <v/>
      </c>
    </row>
    <row r="21" spans="1:34" ht="15" customHeight="1" x14ac:dyDescent="0.25">
      <c r="A21" s="1" t="s">
        <v>69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</sheetData>
  <mergeCells count="26">
    <mergeCell ref="A17:C17"/>
    <mergeCell ref="A18:C18"/>
    <mergeCell ref="A19:C19"/>
    <mergeCell ref="A21:R21"/>
    <mergeCell ref="AP4:AP5"/>
    <mergeCell ref="AQ4:AQ5"/>
    <mergeCell ref="AR4:AR5"/>
    <mergeCell ref="A15:C15"/>
    <mergeCell ref="A16:C16"/>
    <mergeCell ref="AK4:AK5"/>
    <mergeCell ref="AL4:AL5"/>
    <mergeCell ref="AM4:AM5"/>
    <mergeCell ref="AN4:AN5"/>
    <mergeCell ref="AO4:AO5"/>
    <mergeCell ref="A4:A5"/>
    <mergeCell ref="B4:B5"/>
    <mergeCell ref="C4:C5"/>
    <mergeCell ref="AI4:AI5"/>
    <mergeCell ref="AJ4:AJ5"/>
    <mergeCell ref="A1:AR1"/>
    <mergeCell ref="D2:F2"/>
    <mergeCell ref="G2:I2"/>
    <mergeCell ref="J2:L2"/>
    <mergeCell ref="M2:O2"/>
    <mergeCell ref="P2:R2"/>
    <mergeCell ref="S2:U2"/>
  </mergeCells>
  <conditionalFormatting sqref="D4:AH5">
    <cfRule type="expression" dxfId="8" priority="8">
      <formula>OR(D$5="S",D$5="D")</formula>
    </cfRule>
  </conditionalFormatting>
  <conditionalFormatting sqref="D6:AH13">
    <cfRule type="cellIs" dxfId="7" priority="2" operator="equal">
      <formula>"M"</formula>
    </cfRule>
    <cfRule type="cellIs" dxfId="6" priority="3" operator="equal">
      <formula>"T"</formula>
    </cfRule>
    <cfRule type="cellIs" dxfId="5" priority="4" operator="equal">
      <formula>"N"</formula>
    </cfRule>
    <cfRule type="cellIs" dxfId="4" priority="5" operator="equal">
      <formula>"L"</formula>
    </cfRule>
    <cfRule type="cellIs" dxfId="3" priority="6" operator="equal">
      <formula>"V"</formula>
    </cfRule>
    <cfRule type="cellIs" dxfId="2" priority="7" operator="equal">
      <formula>"B"</formula>
    </cfRule>
  </conditionalFormatting>
  <conditionalFormatting sqref="D15:AH17">
    <cfRule type="expression" dxfId="1" priority="9">
      <formula>AND(D15&lt;&gt;"",D15&lt;$B$3)</formula>
    </cfRule>
  </conditionalFormatting>
  <dataValidations count="1">
    <dataValidation type="list" allowBlank="1" showErrorMessage="1" errorTitle="Código no válido" error="Usa solo: M, T, N, L, V o B" prompt="Elige el turno del día" sqref="D6:AH13" xr:uid="{00000000-0002-0000-0100-000000000000}">
      <formula1>"M,T,N,L,V,B"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22" customWidth="1"/>
    <col min="2" max="2" width="9" customWidth="1"/>
    <col min="3" max="5" width="5" customWidth="1"/>
    <col min="6" max="7" width="8" customWidth="1"/>
    <col min="8" max="8" width="7" customWidth="1"/>
    <col min="9" max="11" width="11" customWidth="1"/>
  </cols>
  <sheetData>
    <row r="1" spans="1:11" ht="17.25" customHeight="1" x14ac:dyDescent="0.25">
      <c r="A1" s="14" t="s">
        <v>70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" customHeight="1" x14ac:dyDescent="0.25">
      <c r="A2" s="59" t="str">
        <f>" Periodo: "&amp;TEXT(Cuadrante!$B$2,"[$-C0A]mmmm yyyy")</f>
        <v xml:space="preserve"> Periodo: septiembre yyyy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4" spans="1:11" ht="23.25" customHeight="1" x14ac:dyDescent="0.25">
      <c r="A4" s="43" t="s">
        <v>58</v>
      </c>
      <c r="B4" s="43" t="s">
        <v>71</v>
      </c>
      <c r="C4" s="43" t="s">
        <v>7</v>
      </c>
      <c r="D4" s="43" t="s">
        <v>11</v>
      </c>
      <c r="E4" s="43" t="s">
        <v>14</v>
      </c>
      <c r="F4" s="43" t="s">
        <v>72</v>
      </c>
      <c r="G4" s="43" t="s">
        <v>73</v>
      </c>
      <c r="H4" s="43" t="s">
        <v>74</v>
      </c>
      <c r="I4" s="43" t="s">
        <v>75</v>
      </c>
      <c r="J4" s="43" t="s">
        <v>76</v>
      </c>
      <c r="K4" s="43" t="s">
        <v>77</v>
      </c>
    </row>
    <row r="5" spans="1:11" ht="15" customHeight="1" x14ac:dyDescent="0.25">
      <c r="A5" s="17" t="str">
        <f>Cuadrante!B6</f>
        <v>Marta Salcedo</v>
      </c>
      <c r="B5" s="44">
        <f>Cuadrante!AO6</f>
        <v>24</v>
      </c>
      <c r="C5" s="45">
        <f>Cuadrante!AI6</f>
        <v>8</v>
      </c>
      <c r="D5" s="45">
        <f>Cuadrante!AJ6</f>
        <v>8</v>
      </c>
      <c r="E5" s="45">
        <f>Cuadrante!AK6</f>
        <v>8</v>
      </c>
      <c r="F5" s="46">
        <f>Cuadrante!AL6</f>
        <v>6</v>
      </c>
      <c r="G5" s="47">
        <f>Cuadrante!AM6</f>
        <v>0</v>
      </c>
      <c r="H5" s="48">
        <f>Cuadrante!AN6</f>
        <v>0</v>
      </c>
      <c r="I5" s="49">
        <f>Cuadrante!AP6</f>
        <v>192</v>
      </c>
      <c r="J5" s="49">
        <f>Cuadrante!AQ6</f>
        <v>160</v>
      </c>
      <c r="K5" s="50">
        <f>Cuadrante!AR6</f>
        <v>32</v>
      </c>
    </row>
    <row r="6" spans="1:11" ht="15" customHeight="1" x14ac:dyDescent="0.25">
      <c r="A6" s="17" t="str">
        <f>Cuadrante!B7</f>
        <v>Julián Ferrer</v>
      </c>
      <c r="B6" s="44">
        <f>Cuadrante!AO7</f>
        <v>23</v>
      </c>
      <c r="C6" s="45">
        <f>Cuadrante!AI7</f>
        <v>7</v>
      </c>
      <c r="D6" s="45">
        <f>Cuadrante!AJ7</f>
        <v>8</v>
      </c>
      <c r="E6" s="45">
        <f>Cuadrante!AK7</f>
        <v>8</v>
      </c>
      <c r="F6" s="46">
        <f>Cuadrante!AL7</f>
        <v>7</v>
      </c>
      <c r="G6" s="47">
        <f>Cuadrante!AM7</f>
        <v>0</v>
      </c>
      <c r="H6" s="48">
        <f>Cuadrante!AN7</f>
        <v>0</v>
      </c>
      <c r="I6" s="49">
        <f>Cuadrante!AP7</f>
        <v>184</v>
      </c>
      <c r="J6" s="49">
        <f>Cuadrante!AQ7</f>
        <v>160</v>
      </c>
      <c r="K6" s="50">
        <f>Cuadrante!AR7</f>
        <v>24</v>
      </c>
    </row>
    <row r="7" spans="1:11" ht="15" customHeight="1" x14ac:dyDescent="0.25">
      <c r="A7" s="17" t="str">
        <f>Cuadrante!B8</f>
        <v>Nadia Bouzid</v>
      </c>
      <c r="B7" s="44">
        <f>Cuadrante!AO8</f>
        <v>22</v>
      </c>
      <c r="C7" s="45">
        <f>Cuadrante!AI8</f>
        <v>6</v>
      </c>
      <c r="D7" s="45">
        <f>Cuadrante!AJ8</f>
        <v>8</v>
      </c>
      <c r="E7" s="45">
        <f>Cuadrante!AK8</f>
        <v>8</v>
      </c>
      <c r="F7" s="46">
        <f>Cuadrante!AL8</f>
        <v>8</v>
      </c>
      <c r="G7" s="47">
        <f>Cuadrante!AM8</f>
        <v>0</v>
      </c>
      <c r="H7" s="48">
        <f>Cuadrante!AN8</f>
        <v>0</v>
      </c>
      <c r="I7" s="49">
        <f>Cuadrante!AP8</f>
        <v>176</v>
      </c>
      <c r="J7" s="49">
        <f>Cuadrante!AQ8</f>
        <v>160</v>
      </c>
      <c r="K7" s="50">
        <f>Cuadrante!AR8</f>
        <v>16</v>
      </c>
    </row>
    <row r="8" spans="1:11" ht="15" customHeight="1" x14ac:dyDescent="0.25">
      <c r="A8" s="17" t="str">
        <f>Cuadrante!B9</f>
        <v>Óscar Villar</v>
      </c>
      <c r="B8" s="44">
        <f>Cuadrante!AO9</f>
        <v>22</v>
      </c>
      <c r="C8" s="45">
        <f>Cuadrante!AI9</f>
        <v>7</v>
      </c>
      <c r="D8" s="45">
        <f>Cuadrante!AJ9</f>
        <v>7</v>
      </c>
      <c r="E8" s="45">
        <f>Cuadrante!AK9</f>
        <v>8</v>
      </c>
      <c r="F8" s="46">
        <f>Cuadrante!AL9</f>
        <v>8</v>
      </c>
      <c r="G8" s="47">
        <f>Cuadrante!AM9</f>
        <v>0</v>
      </c>
      <c r="H8" s="48">
        <f>Cuadrante!AN9</f>
        <v>0</v>
      </c>
      <c r="I8" s="49">
        <f>Cuadrante!AP9</f>
        <v>176</v>
      </c>
      <c r="J8" s="49">
        <f>Cuadrante!AQ9</f>
        <v>160</v>
      </c>
      <c r="K8" s="50">
        <f>Cuadrante!AR9</f>
        <v>16</v>
      </c>
    </row>
    <row r="9" spans="1:11" ht="15" customHeight="1" x14ac:dyDescent="0.25">
      <c r="A9" s="17" t="str">
        <f>Cuadrante!B10</f>
        <v>Elena Prados</v>
      </c>
      <c r="B9" s="44">
        <f>Cuadrante!AO10</f>
        <v>17</v>
      </c>
      <c r="C9" s="45">
        <f>Cuadrante!AI10</f>
        <v>6</v>
      </c>
      <c r="D9" s="45">
        <f>Cuadrante!AJ10</f>
        <v>5</v>
      </c>
      <c r="E9" s="45">
        <f>Cuadrante!AK10</f>
        <v>6</v>
      </c>
      <c r="F9" s="46">
        <f>Cuadrante!AL10</f>
        <v>6</v>
      </c>
      <c r="G9" s="47">
        <f>Cuadrante!AM10</f>
        <v>7</v>
      </c>
      <c r="H9" s="48">
        <f>Cuadrante!AN10</f>
        <v>0</v>
      </c>
      <c r="I9" s="49">
        <f>Cuadrante!AP10</f>
        <v>136</v>
      </c>
      <c r="J9" s="49">
        <f>Cuadrante!AQ10</f>
        <v>160</v>
      </c>
      <c r="K9" s="50">
        <f>Cuadrante!AR10</f>
        <v>-24</v>
      </c>
    </row>
    <row r="10" spans="1:11" ht="15" customHeight="1" x14ac:dyDescent="0.25">
      <c r="A10" s="17" t="str">
        <f>Cuadrante!B11</f>
        <v>Rubén Aguado</v>
      </c>
      <c r="B10" s="44">
        <f>Cuadrante!AO11</f>
        <v>22</v>
      </c>
      <c r="C10" s="45">
        <f>Cuadrante!AI11</f>
        <v>8</v>
      </c>
      <c r="D10" s="45">
        <f>Cuadrante!AJ11</f>
        <v>7</v>
      </c>
      <c r="E10" s="45">
        <f>Cuadrante!AK11</f>
        <v>7</v>
      </c>
      <c r="F10" s="46">
        <f>Cuadrante!AL11</f>
        <v>8</v>
      </c>
      <c r="G10" s="47">
        <f>Cuadrante!AM11</f>
        <v>0</v>
      </c>
      <c r="H10" s="48">
        <f>Cuadrante!AN11</f>
        <v>0</v>
      </c>
      <c r="I10" s="49">
        <f>Cuadrante!AP11</f>
        <v>176</v>
      </c>
      <c r="J10" s="49">
        <f>Cuadrante!AQ11</f>
        <v>120</v>
      </c>
      <c r="K10" s="50">
        <f>Cuadrante!AR11</f>
        <v>56</v>
      </c>
    </row>
    <row r="11" spans="1:11" ht="15" customHeight="1" x14ac:dyDescent="0.25">
      <c r="A11" s="17" t="str">
        <f>Cuadrante!B12</f>
        <v>Clara Montoya</v>
      </c>
      <c r="B11" s="44">
        <f>Cuadrante!AO12</f>
        <v>22</v>
      </c>
      <c r="C11" s="45">
        <f>Cuadrante!AI12</f>
        <v>8</v>
      </c>
      <c r="D11" s="45">
        <f>Cuadrante!AJ12</f>
        <v>8</v>
      </c>
      <c r="E11" s="45">
        <f>Cuadrante!AK12</f>
        <v>6</v>
      </c>
      <c r="F11" s="46">
        <f>Cuadrante!AL12</f>
        <v>8</v>
      </c>
      <c r="G11" s="47">
        <f>Cuadrante!AM12</f>
        <v>0</v>
      </c>
      <c r="H11" s="48">
        <f>Cuadrante!AN12</f>
        <v>0</v>
      </c>
      <c r="I11" s="49">
        <f>Cuadrante!AP12</f>
        <v>176</v>
      </c>
      <c r="J11" s="49">
        <f>Cuadrante!AQ12</f>
        <v>160</v>
      </c>
      <c r="K11" s="50">
        <f>Cuadrante!AR12</f>
        <v>16</v>
      </c>
    </row>
    <row r="12" spans="1:11" ht="15" customHeight="1" x14ac:dyDescent="0.25">
      <c r="A12" s="17" t="str">
        <f>Cuadrante!B13</f>
        <v>Diego Sáez</v>
      </c>
      <c r="B12" s="44">
        <f>Cuadrante!AO13</f>
        <v>21</v>
      </c>
      <c r="C12" s="45">
        <f>Cuadrante!AI13</f>
        <v>8</v>
      </c>
      <c r="D12" s="45">
        <f>Cuadrante!AJ13</f>
        <v>8</v>
      </c>
      <c r="E12" s="45">
        <f>Cuadrante!AK13</f>
        <v>5</v>
      </c>
      <c r="F12" s="46">
        <f>Cuadrante!AL13</f>
        <v>6</v>
      </c>
      <c r="G12" s="47">
        <f>Cuadrante!AM13</f>
        <v>0</v>
      </c>
      <c r="H12" s="48">
        <f>Cuadrante!AN13</f>
        <v>3</v>
      </c>
      <c r="I12" s="49">
        <f>Cuadrante!AP13</f>
        <v>168</v>
      </c>
      <c r="J12" s="49">
        <f>Cuadrante!AQ13</f>
        <v>140</v>
      </c>
      <c r="K12" s="50">
        <f>Cuadrante!AR13</f>
        <v>28</v>
      </c>
    </row>
    <row r="13" spans="1:11" ht="15" customHeight="1" x14ac:dyDescent="0.25">
      <c r="A13" s="51" t="s">
        <v>78</v>
      </c>
      <c r="B13" s="52">
        <f t="shared" ref="B13:K13" si="0">SUM(B5:B12)</f>
        <v>173</v>
      </c>
      <c r="C13" s="52">
        <f t="shared" si="0"/>
        <v>58</v>
      </c>
      <c r="D13" s="52">
        <f t="shared" si="0"/>
        <v>59</v>
      </c>
      <c r="E13" s="52">
        <f t="shared" si="0"/>
        <v>56</v>
      </c>
      <c r="F13" s="52">
        <f t="shared" si="0"/>
        <v>57</v>
      </c>
      <c r="G13" s="52">
        <f t="shared" si="0"/>
        <v>7</v>
      </c>
      <c r="H13" s="52">
        <f t="shared" si="0"/>
        <v>3</v>
      </c>
      <c r="I13" s="52">
        <f t="shared" si="0"/>
        <v>1384</v>
      </c>
      <c r="J13" s="52">
        <f t="shared" si="0"/>
        <v>1220</v>
      </c>
      <c r="K13" s="53">
        <f t="shared" si="0"/>
        <v>164</v>
      </c>
    </row>
    <row r="15" spans="1:11" ht="15" customHeight="1" x14ac:dyDescent="0.25">
      <c r="A15" s="58" t="s">
        <v>79</v>
      </c>
      <c r="B15" s="58"/>
      <c r="C15" s="58"/>
    </row>
    <row r="16" spans="1:11" ht="15" customHeight="1" x14ac:dyDescent="0.25">
      <c r="A16" s="60" t="s">
        <v>80</v>
      </c>
      <c r="B16" s="60"/>
      <c r="C16" s="60"/>
      <c r="D16" s="54">
        <f>SUMPRODUCT(--(Cuadrante!D4:AH4&lt;&gt;""))</f>
        <v>30</v>
      </c>
    </row>
    <row r="17" spans="1:4" ht="15" customHeight="1" x14ac:dyDescent="0.25">
      <c r="A17" s="60" t="s">
        <v>81</v>
      </c>
      <c r="B17" s="60"/>
      <c r="C17" s="60"/>
      <c r="D17" s="54">
        <f>Cuadrante!$B$3</f>
        <v>2</v>
      </c>
    </row>
    <row r="18" spans="1:4" ht="15" customHeight="1" x14ac:dyDescent="0.25">
      <c r="A18" s="60" t="s">
        <v>82</v>
      </c>
      <c r="B18" s="60"/>
      <c r="C18" s="60"/>
      <c r="D18" s="55">
        <f>SUMPRODUCT((Cuadrante!D15:AH17&lt;&gt;"")*(Cuadrante!D15:AH17&lt;Cuadrante!$B$3))</f>
        <v>7</v>
      </c>
    </row>
    <row r="19" spans="1:4" ht="15" customHeight="1" x14ac:dyDescent="0.25">
      <c r="A19" s="60" t="s">
        <v>83</v>
      </c>
      <c r="B19" s="60"/>
      <c r="C19" s="60"/>
      <c r="D19" s="56">
        <f>IFERROR(AVERAGE(Cuadrante!D18:AH18),0)</f>
        <v>5.7666666666666666</v>
      </c>
    </row>
  </sheetData>
  <mergeCells count="7">
    <mergeCell ref="A18:C18"/>
    <mergeCell ref="A19:C19"/>
    <mergeCell ref="A1:K1"/>
    <mergeCell ref="A2:K2"/>
    <mergeCell ref="A15:C15"/>
    <mergeCell ref="A16:C16"/>
    <mergeCell ref="A17:C17"/>
  </mergeCells>
  <conditionalFormatting sqref="D18">
    <cfRule type="cellIs" dxfId="0" priority="2" operator="greaterThan">
      <formula>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Configuración</vt:lpstr>
      <vt:lpstr>Cuadrante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2026-08-25T04:59:05Z</dcterms:created>
  <dcterms:modified xsi:type="dcterms:W3CDTF">2026-08-25T06:53:25Z</dcterms:modified>
  <dc:language>en-US</dc:language>
</cp:coreProperties>
</file>