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Factureo\Generador\"/>
    </mc:Choice>
  </mc:AlternateContent>
  <xr:revisionPtr revIDLastSave="0" documentId="13_ncr:1_{796E6BC2-E45E-421A-BC57-F788346C936F}" xr6:coauthVersionLast="47" xr6:coauthVersionMax="47" xr10:uidLastSave="{00000000-0000-0000-0000-000000000000}"/>
  <bookViews>
    <workbookView xWindow="1035" yWindow="1035" windowWidth="25500" windowHeight="13500" tabRatio="500" xr2:uid="{00000000-000D-0000-FFFF-FFFF00000000}"/>
  </bookViews>
  <sheets>
    <sheet name="Panel" sheetId="1" r:id="rId1"/>
    <sheet name="Equipos" sheetId="2" r:id="rId2"/>
    <sheet name="Plan preventivo" sheetId="3" r:id="rId3"/>
    <sheet name="Historial" sheetId="4" r:id="rId4"/>
    <sheet name="Listas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28" i="4" l="1"/>
  <c r="J28" i="4"/>
  <c r="I28" i="4"/>
  <c r="L27" i="4"/>
  <c r="D27" i="4"/>
  <c r="L26" i="4"/>
  <c r="D26" i="4"/>
  <c r="L25" i="4"/>
  <c r="D25" i="4"/>
  <c r="L24" i="4"/>
  <c r="D24" i="4"/>
  <c r="L23" i="4"/>
  <c r="D23" i="4"/>
  <c r="L22" i="4"/>
  <c r="D22" i="4"/>
  <c r="L21" i="4"/>
  <c r="D21" i="4"/>
  <c r="L20" i="4"/>
  <c r="D20" i="4"/>
  <c r="L19" i="4"/>
  <c r="D19" i="4"/>
  <c r="L18" i="4"/>
  <c r="D18" i="4"/>
  <c r="L17" i="4"/>
  <c r="D17" i="4"/>
  <c r="L16" i="4"/>
  <c r="D16" i="4"/>
  <c r="L15" i="4"/>
  <c r="D15" i="4"/>
  <c r="L14" i="4"/>
  <c r="D14" i="4"/>
  <c r="L13" i="4"/>
  <c r="D13" i="4"/>
  <c r="L12" i="4"/>
  <c r="D12" i="4"/>
  <c r="L11" i="4"/>
  <c r="D11" i="4"/>
  <c r="L10" i="4"/>
  <c r="D10" i="4"/>
  <c r="L9" i="4"/>
  <c r="D9" i="4"/>
  <c r="L8" i="4"/>
  <c r="D8" i="4"/>
  <c r="L7" i="4"/>
  <c r="D7" i="4"/>
  <c r="L6" i="4"/>
  <c r="D6" i="4"/>
  <c r="L5" i="4"/>
  <c r="L28" i="4" s="1"/>
  <c r="D5" i="4"/>
  <c r="E20" i="3"/>
  <c r="G20" i="3" s="1"/>
  <c r="B20" i="3"/>
  <c r="G19" i="3"/>
  <c r="E19" i="3"/>
  <c r="B19" i="3"/>
  <c r="E18" i="3"/>
  <c r="G18" i="3" s="1"/>
  <c r="B18" i="3"/>
  <c r="E17" i="3"/>
  <c r="G17" i="3" s="1"/>
  <c r="B17" i="3"/>
  <c r="E16" i="3"/>
  <c r="G16" i="3" s="1"/>
  <c r="B16" i="3"/>
  <c r="E15" i="3"/>
  <c r="G15" i="3" s="1"/>
  <c r="B15" i="3"/>
  <c r="E14" i="3"/>
  <c r="G14" i="3" s="1"/>
  <c r="B14" i="3"/>
  <c r="E13" i="3"/>
  <c r="G13" i="3" s="1"/>
  <c r="B13" i="3"/>
  <c r="E12" i="3"/>
  <c r="G12" i="3" s="1"/>
  <c r="B12" i="3"/>
  <c r="G11" i="3"/>
  <c r="E11" i="3"/>
  <c r="B11" i="3"/>
  <c r="G10" i="3"/>
  <c r="E10" i="3"/>
  <c r="B10" i="3"/>
  <c r="E9" i="3"/>
  <c r="G9" i="3" s="1"/>
  <c r="B9" i="3"/>
  <c r="E8" i="3"/>
  <c r="G8" i="3" s="1"/>
  <c r="B8" i="3"/>
  <c r="E7" i="3"/>
  <c r="G7" i="3" s="1"/>
  <c r="B7" i="3"/>
  <c r="G6" i="3"/>
  <c r="E6" i="3"/>
  <c r="B6" i="3"/>
  <c r="E5" i="3"/>
  <c r="G5" i="3" s="1"/>
  <c r="B5" i="3"/>
  <c r="C16" i="1"/>
  <c r="B16" i="1"/>
  <c r="B15" i="1"/>
  <c r="G9" i="1"/>
  <c r="A9" i="1"/>
  <c r="D5" i="1"/>
  <c r="A5" i="1"/>
  <c r="H5" i="3" l="1"/>
  <c r="I5" i="3" s="1"/>
  <c r="H7" i="3"/>
  <c r="I7" i="3" s="1"/>
  <c r="H16" i="3"/>
  <c r="I16" i="3" s="1"/>
  <c r="H8" i="3"/>
  <c r="I8" i="3" s="1"/>
  <c r="H17" i="3"/>
  <c r="I17" i="3" s="1"/>
  <c r="H9" i="3"/>
  <c r="I9" i="3" s="1"/>
  <c r="H18" i="3"/>
  <c r="I18" i="3" s="1"/>
  <c r="H20" i="3"/>
  <c r="I20" i="3" s="1"/>
  <c r="K17" i="1"/>
  <c r="K15" i="1"/>
  <c r="K16" i="1"/>
  <c r="K22" i="1"/>
  <c r="K19" i="1"/>
  <c r="K21" i="1"/>
  <c r="K18" i="1"/>
  <c r="K20" i="1"/>
  <c r="H12" i="3"/>
  <c r="I12" i="3" s="1"/>
  <c r="H13" i="3"/>
  <c r="I13" i="3" s="1"/>
  <c r="H14" i="3"/>
  <c r="I14" i="3" s="1"/>
  <c r="H15" i="3"/>
  <c r="I15" i="3" s="1"/>
  <c r="H19" i="3"/>
  <c r="I19" i="3" s="1"/>
  <c r="D9" i="1"/>
  <c r="C15" i="1"/>
  <c r="H11" i="3"/>
  <c r="I11" i="3" s="1"/>
  <c r="H6" i="3"/>
  <c r="I6" i="3" s="1"/>
  <c r="H10" i="3"/>
  <c r="I10" i="3" s="1"/>
  <c r="G15" i="1" l="1"/>
  <c r="J9" i="1"/>
  <c r="G5" i="1"/>
  <c r="J5" i="1"/>
  <c r="G17" i="1"/>
  <c r="G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G4" authorId="0" shapeId="0" xr:uid="{00000000-0006-0000-0200-000001000000}">
      <text>
        <r>
          <rPr>
            <sz val="10"/>
            <rFont val="Arial"/>
            <family val="2"/>
          </rPr>
          <t>Se calcula automáticamente: Última ejecución + días de la frecuencia.</t>
        </r>
      </text>
    </comment>
    <comment ref="I4" authorId="0" shapeId="0" xr:uid="{00000000-0006-0000-0200-000002000000}">
      <text>
        <r>
          <rPr>
            <sz val="10"/>
            <rFont val="Arial"/>
            <family val="2"/>
          </rPr>
          <t>Estado automático según los días restantes.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L4" authorId="0" shapeId="0" xr:uid="{00000000-0006-0000-0300-000001000000}">
      <text>
        <r>
          <rPr>
            <sz val="10"/>
            <rFont val="Arial"/>
            <family val="2"/>
          </rPr>
          <t>Coste materiales + coste mano de obra.</t>
        </r>
      </text>
    </comment>
  </commentList>
</comments>
</file>

<file path=xl/sharedStrings.xml><?xml version="1.0" encoding="utf-8"?>
<sst xmlns="http://schemas.openxmlformats.org/spreadsheetml/2006/main" count="490" uniqueCount="228">
  <si>
    <t>SERVICIOS TÉCNICOS VEGA, S.L.</t>
  </si>
  <si>
    <t>PANEL DE CONTROL  ·  Indicadores de mantenimiento en tiempo real</t>
  </si>
  <si>
    <t>EQUIPOS REGISTRADOS</t>
  </si>
  <si>
    <t>EQUIPOS OPERATIVOS</t>
  </si>
  <si>
    <t>TAREAS VENCIDAS</t>
  </si>
  <si>
    <t>TAREAS PRÓXIMAS (15 d)</t>
  </si>
  <si>
    <t>INTERVENCIONES TOTALES</t>
  </si>
  <si>
    <t>COSTE TOTAL ACUMULADO</t>
  </si>
  <si>
    <t>HORAS DE PARADA</t>
  </si>
  <si>
    <t>% CUMPLIMIENTO PLAN</t>
  </si>
  <si>
    <t>Preventivo vs. Correctivo</t>
  </si>
  <si>
    <t>Estado del plan preventivo</t>
  </si>
  <si>
    <t>Coste por categoría de equipo</t>
  </si>
  <si>
    <t>Tipo</t>
  </si>
  <si>
    <t>Nº interv.</t>
  </si>
  <si>
    <t>Coste (€)</t>
  </si>
  <si>
    <t>Estado</t>
  </si>
  <si>
    <t>Nº tareas</t>
  </si>
  <si>
    <t>Categoría</t>
  </si>
  <si>
    <t>Preventivo</t>
  </si>
  <si>
    <t>Vencida</t>
  </si>
  <si>
    <t>Climatización</t>
  </si>
  <si>
    <t>Correctivo</t>
  </si>
  <si>
    <t>Próxima</t>
  </si>
  <si>
    <t>Elevación</t>
  </si>
  <si>
    <t>Al día</t>
  </si>
  <si>
    <t>Energía</t>
  </si>
  <si>
    <t>Producción</t>
  </si>
  <si>
    <t>Vehículos</t>
  </si>
  <si>
    <t>Seguridad</t>
  </si>
  <si>
    <t>Fontanería</t>
  </si>
  <si>
    <t>Informática</t>
  </si>
  <si>
    <t>Cómo usar la plantilla:</t>
  </si>
  <si>
    <t>1. Da de alta tus activos en la hoja «Equipos» (usa un código único por equipo, p. ej. EQ-013).</t>
  </si>
  <si>
    <t>2. En «Plan preventivo» añade las tareas: elige el código de equipo y la frecuencia; la próxima fecha y el estado se calculan solos.</t>
  </si>
  <si>
    <t>3. Cada vez que ejecutes una tarea o repares una avería, regístrala en «Historial» (inserta filas nuevas ENCIMA de la fila TOTALES); los KPIs y gráficos se actualizan solos.</t>
  </si>
  <si>
    <t>4. Colores del plan:  rojo = Vencida   ·   ámbar = Próxima (≤15 días)   ·   verde = Al día.</t>
  </si>
  <si>
    <t>5. Las listas desplegables se editan en la hoja «Listas».</t>
  </si>
  <si>
    <t>INVENTARIO DE EQUIPOS  ·  Ficha técnica de cada activo</t>
  </si>
  <si>
    <t>Código</t>
  </si>
  <si>
    <t>Equipo / Descripción</t>
  </si>
  <si>
    <t>Marca</t>
  </si>
  <si>
    <t>Modelo</t>
  </si>
  <si>
    <t>Nº de serie</t>
  </si>
  <si>
    <t>Ubicación</t>
  </si>
  <si>
    <t>Fecha de alta</t>
  </si>
  <si>
    <t>Criticidad</t>
  </si>
  <si>
    <t>Responsable</t>
  </si>
  <si>
    <t>EQ-001</t>
  </si>
  <si>
    <t>Climatizadora cubierta ala norte</t>
  </si>
  <si>
    <t>Frigair</t>
  </si>
  <si>
    <t>RT-240</t>
  </si>
  <si>
    <t>FR240-8841</t>
  </si>
  <si>
    <t>Cubierta · Edif. A</t>
  </si>
  <si>
    <t>Operativo</t>
  </si>
  <si>
    <t>Alta</t>
  </si>
  <si>
    <t>Diego Losada</t>
  </si>
  <si>
    <t>EQ-002</t>
  </si>
  <si>
    <t>Ascensor principal</t>
  </si>
  <si>
    <t>Otelo</t>
  </si>
  <si>
    <t>Gen2-630</t>
  </si>
  <si>
    <t>OT630-1907</t>
  </si>
  <si>
    <t>Núcleo central</t>
  </si>
  <si>
    <t>Nuria Peral</t>
  </si>
  <si>
    <t>EQ-003</t>
  </si>
  <si>
    <t>Grupo electrógeno 100 kVA</t>
  </si>
  <si>
    <t>PowerGen</t>
  </si>
  <si>
    <t>PG-100D</t>
  </si>
  <si>
    <t>PG100-5523</t>
  </si>
  <si>
    <t>Sala técnica -1</t>
  </si>
  <si>
    <t>Álvaro Cid</t>
  </si>
  <si>
    <t>EQ-004</t>
  </si>
  <si>
    <t>Compresor de tornillo 30 CV</t>
  </si>
  <si>
    <t>AirTek</t>
  </si>
  <si>
    <t>SC-30</t>
  </si>
  <si>
    <t>AT30-3390</t>
  </si>
  <si>
    <t>Nave de aire</t>
  </si>
  <si>
    <t>En reparación</t>
  </si>
  <si>
    <t>Media</t>
  </si>
  <si>
    <t>Ismael Ortiz</t>
  </si>
  <si>
    <t>EQ-005</t>
  </si>
  <si>
    <t>Furgoneta de servicio 01</t>
  </si>
  <si>
    <t>Renolt</t>
  </si>
  <si>
    <t>Kango 1.5</t>
  </si>
  <si>
    <t>VF12345678</t>
  </si>
  <si>
    <t>Flota · Cochera</t>
  </si>
  <si>
    <t>Marta Ferrán</t>
  </si>
  <si>
    <t>EQ-006</t>
  </si>
  <si>
    <t>Caldera de gas 120 kW</t>
  </si>
  <si>
    <t>Termax</t>
  </si>
  <si>
    <t>GB-120</t>
  </si>
  <si>
    <t>TX120-7742</t>
  </si>
  <si>
    <t>Sala calderas</t>
  </si>
  <si>
    <t>EQ-007</t>
  </si>
  <si>
    <t>Bomba de agua contra incendios</t>
  </si>
  <si>
    <t>Hidron</t>
  </si>
  <si>
    <t>BCI-45</t>
  </si>
  <si>
    <t>HD45-2210</t>
  </si>
  <si>
    <t>Grupo PCI</t>
  </si>
  <si>
    <t>EQ-008</t>
  </si>
  <si>
    <t>Puerta seccional muelle 2</t>
  </si>
  <si>
    <t>DoorPro</t>
  </si>
  <si>
    <t>DS-400</t>
  </si>
  <si>
    <t>DP400-6618</t>
  </si>
  <si>
    <t>Muelle de carga</t>
  </si>
  <si>
    <t>Baja</t>
  </si>
  <si>
    <t>EQ-009</t>
  </si>
  <si>
    <t>Servidor de racks CPD</t>
  </si>
  <si>
    <t>NodeServ</t>
  </si>
  <si>
    <t>RX-2U</t>
  </si>
  <si>
    <t>NS2U-9004</t>
  </si>
  <si>
    <t>CPD planta 1</t>
  </si>
  <si>
    <t>EQ-010</t>
  </si>
  <si>
    <t>Carretilla elevadora eléctrica</t>
  </si>
  <si>
    <t>LiftOne</t>
  </si>
  <si>
    <t>EL-16</t>
  </si>
  <si>
    <t>LO16-4471</t>
  </si>
  <si>
    <t>Almacén</t>
  </si>
  <si>
    <t>EQ-011</t>
  </si>
  <si>
    <t>Depuradora de aguas grises</t>
  </si>
  <si>
    <t>AquaClean</t>
  </si>
  <si>
    <t>DP-90</t>
  </si>
  <si>
    <t>AC90-1188</t>
  </si>
  <si>
    <t>Sótano técnico</t>
  </si>
  <si>
    <t>Fuera de servicio</t>
  </si>
  <si>
    <t>EQ-012</t>
  </si>
  <si>
    <t>Furgoneta de servicio 02</t>
  </si>
  <si>
    <t>Fiatt</t>
  </si>
  <si>
    <t>Ducado L2H2</t>
  </si>
  <si>
    <t>ZFA25000123</t>
  </si>
  <si>
    <t>PLAN DE MANTENIMIENTO PREVENTIVO  ·  Tareas periódicas · próxima fecha y estado automáticos</t>
  </si>
  <si>
    <t>Cód.</t>
  </si>
  <si>
    <t>Equipo</t>
  </si>
  <si>
    <t>Tarea de mantenimiento</t>
  </si>
  <si>
    <t>Frecuencia</t>
  </si>
  <si>
    <t>Días</t>
  </si>
  <si>
    <t>Última ejecución</t>
  </si>
  <si>
    <t>Próxima ejecución</t>
  </si>
  <si>
    <t>Días restantes</t>
  </si>
  <si>
    <t>Prioridad</t>
  </si>
  <si>
    <t>Observaciones</t>
  </si>
  <si>
    <t>Limpieza de filtros y baterías</t>
  </si>
  <si>
    <t>Mensual</t>
  </si>
  <si>
    <t>Revisar estanqueidad del circuito</t>
  </si>
  <si>
    <t>Inspección reglamentaria de seguridad</t>
  </si>
  <si>
    <t>Semestral</t>
  </si>
  <si>
    <t>Realiza empresa autorizada (OCA)</t>
  </si>
  <si>
    <t>Engrase de guías y revisión de puertas</t>
  </si>
  <si>
    <t>Prueba de arranque en carga</t>
  </si>
  <si>
    <t>15 min a plena carga</t>
  </si>
  <si>
    <t>Cambio de aceite y filtros</t>
  </si>
  <si>
    <t>Anual</t>
  </si>
  <si>
    <t>Según horas de funcionamiento</t>
  </si>
  <si>
    <t>Revisión de fugas y tensado de correas</t>
  </si>
  <si>
    <t>Trimestral</t>
  </si>
  <si>
    <t>Equipo en reparación</t>
  </si>
  <si>
    <t>Mantenimiento 15.000 km</t>
  </si>
  <si>
    <t>Aceite, filtros, frenos</t>
  </si>
  <si>
    <t>Análisis de combustión y limpieza</t>
  </si>
  <si>
    <t>Certificado obligatorio</t>
  </si>
  <si>
    <t>Purga y control de presión</t>
  </si>
  <si>
    <t>Prueba de presión y caudal PCI</t>
  </si>
  <si>
    <t>Registro para inspección</t>
  </si>
  <si>
    <t>Engrase de guías y muelles</t>
  </si>
  <si>
    <t>Copia de seguridad y limpieza CPD</t>
  </si>
  <si>
    <t>Semanal</t>
  </si>
  <si>
    <t>Verificar temperatura del rack</t>
  </si>
  <si>
    <t>Revisión de baterías y frenos</t>
  </si>
  <si>
    <t>Comprobar nivel de electrolito</t>
  </si>
  <si>
    <t>Limpieza de filtros y membranas</t>
  </si>
  <si>
    <t>Bimestral</t>
  </si>
  <si>
    <t>Equipo fuera de servicio</t>
  </si>
  <si>
    <t>Mantenimiento 30.000 km</t>
  </si>
  <si>
    <t>Inspección de conductos y rejillas</t>
  </si>
  <si>
    <t>HISTORIAL DE INTERVENCIONES  ·  Bitácora de mantenimiento preventivo y correctivo</t>
  </si>
  <si>
    <t>Nº</t>
  </si>
  <si>
    <t>Fecha</t>
  </si>
  <si>
    <t>Cód. equipo</t>
  </si>
  <si>
    <t>Descripción de la intervención</t>
  </si>
  <si>
    <t>Técnico</t>
  </si>
  <si>
    <t>Repuestos / Materiales</t>
  </si>
  <si>
    <t>Horas parada</t>
  </si>
  <si>
    <t>Coste materiales</t>
  </si>
  <si>
    <t>Coste mano de obra</t>
  </si>
  <si>
    <t>Coste total</t>
  </si>
  <si>
    <t>Análisis de combustión anual</t>
  </si>
  <si>
    <t>Sonda, junta quemador</t>
  </si>
  <si>
    <t>Finalizado</t>
  </si>
  <si>
    <t>Copia de seguridad y limpieza de racks</t>
  </si>
  <si>
    <t>Filtros de ventilador</t>
  </si>
  <si>
    <t>Sustitución de correa rota</t>
  </si>
  <si>
    <t>Correa trapezoidal x2</t>
  </si>
  <si>
    <t>Aceite, filtros, pastillas</t>
  </si>
  <si>
    <t>Reparación de sensor de puerta</t>
  </si>
  <si>
    <t>Fotocélula</t>
  </si>
  <si>
    <t>Inspección reglamentaria (OCA)</t>
  </si>
  <si>
    <t>—</t>
  </si>
  <si>
    <t>Fuga de refrigerante en radiador</t>
  </si>
  <si>
    <t>Radiador, líquido</t>
  </si>
  <si>
    <t>Fallo en batería de tracción</t>
  </si>
  <si>
    <t>Batería 48V</t>
  </si>
  <si>
    <t>Revisión de fugas y tensado</t>
  </si>
  <si>
    <t>Kit juntas</t>
  </si>
  <si>
    <t>Membrana filtrante</t>
  </si>
  <si>
    <t>Aceite, filtros, correa</t>
  </si>
  <si>
    <t>Filtros</t>
  </si>
  <si>
    <t>Grasa, resortes</t>
  </si>
  <si>
    <t>Avería en bomba de recirculación</t>
  </si>
  <si>
    <t>Bomba, sellos</t>
  </si>
  <si>
    <t>En curso</t>
  </si>
  <si>
    <t>Líquido de frenos</t>
  </si>
  <si>
    <t>Engrase de guías y revisión</t>
  </si>
  <si>
    <t>Grasa</t>
  </si>
  <si>
    <t>Diagnóstico de sobrecalentamiento</t>
  </si>
  <si>
    <t>Sustitución de neumático delantero</t>
  </si>
  <si>
    <t>Neumático</t>
  </si>
  <si>
    <t>Pendiente</t>
  </si>
  <si>
    <t>TOTALES</t>
  </si>
  <si>
    <t>CONFIGURACIÓN · Listas desplegables (puedes ampliarlas)</t>
  </si>
  <si>
    <t>Categorías</t>
  </si>
  <si>
    <t>Estado equipo</t>
  </si>
  <si>
    <t>Estado tarea</t>
  </si>
  <si>
    <t>Tipo intervención</t>
  </si>
  <si>
    <t>Estado interv.</t>
  </si>
  <si>
    <t>Responsables</t>
  </si>
  <si>
    <t>Diaria</t>
  </si>
  <si>
    <t>Quincenal</t>
  </si>
  <si>
    <t>PLAN DE MANTENIMIENTO PREVENTICO Y CORRECTIVO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</si>
</sst>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#,##0.0&quot; h&quot;"/>
    <numFmt numFmtId="166" formatCode="#,##0.0"/>
  </numFmts>
  <fonts count="11" x14ac:knownFonts="1">
    <font>
      <sz val="11"/>
      <color theme="1"/>
      <name val="Calibri"/>
      <family val="2"/>
      <charset val="1"/>
    </font>
    <font>
      <b/>
      <sz val="15"/>
      <color rgb="FFFFFFFF"/>
      <name val="Arial"/>
      <charset val="1"/>
    </font>
    <font>
      <sz val="10"/>
      <color rgb="FFFFFFFF"/>
      <name val="Arial"/>
      <charset val="1"/>
    </font>
    <font>
      <b/>
      <sz val="9"/>
      <color rgb="FFFFFFFF"/>
      <name val="Arial"/>
      <charset val="1"/>
    </font>
    <font>
      <b/>
      <sz val="20"/>
      <color rgb="FF1C2B30"/>
      <name val="Arial"/>
      <charset val="1"/>
    </font>
    <font>
      <b/>
      <sz val="11"/>
      <color rgb="FF0E4D52"/>
      <name val="Arial"/>
      <charset val="1"/>
    </font>
    <font>
      <b/>
      <sz val="10"/>
      <color rgb="FFFFFFFF"/>
      <name val="Arial"/>
      <charset val="1"/>
    </font>
    <font>
      <sz val="10"/>
      <color rgb="FF1C2B30"/>
      <name val="Arial"/>
      <charset val="1"/>
    </font>
    <font>
      <b/>
      <sz val="10"/>
      <color rgb="FF0E4D52"/>
      <name val="Arial"/>
      <charset val="1"/>
    </font>
    <font>
      <sz val="9"/>
      <color rgb="FF6B7B80"/>
      <name val="Arial"/>
      <charset val="1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E4D52"/>
        <bgColor rgb="FF1F4E5F"/>
      </patternFill>
    </fill>
    <fill>
      <patternFill patternType="solid">
        <fgColor rgb="FF12636A"/>
        <bgColor rgb="FF1F4E5F"/>
      </patternFill>
    </fill>
    <fill>
      <patternFill patternType="solid">
        <fgColor rgb="FF2E7D5B"/>
        <bgColor rgb="FF12636A"/>
      </patternFill>
    </fill>
    <fill>
      <patternFill patternType="solid">
        <fgColor rgb="FFC0392B"/>
        <bgColor rgb="FFC0504D"/>
      </patternFill>
    </fill>
    <fill>
      <patternFill patternType="solid">
        <fgColor rgb="FFE8A33D"/>
        <bgColor rgb="FFFF8080"/>
      </patternFill>
    </fill>
    <fill>
      <patternFill patternType="solid">
        <fgColor rgb="FFF5F9FA"/>
        <bgColor rgb="FFEFF4F5"/>
      </patternFill>
    </fill>
    <fill>
      <patternFill patternType="solid">
        <fgColor rgb="FF6B7B80"/>
        <bgColor rgb="FF878787"/>
      </patternFill>
    </fill>
    <fill>
      <patternFill patternType="solid">
        <fgColor rgb="FFEFF4F5"/>
        <bgColor rgb="FFF5F9FA"/>
      </patternFill>
    </fill>
    <fill>
      <patternFill patternType="solid">
        <fgColor rgb="FFDCE6E7"/>
        <bgColor rgb="FFE2E8EA"/>
      </patternFill>
    </fill>
  </fills>
  <borders count="3">
    <border>
      <left/>
      <right/>
      <top/>
      <bottom/>
      <diagonal/>
    </border>
    <border>
      <left style="thin">
        <color rgb="FFCBD8DB"/>
      </left>
      <right style="thin">
        <color rgb="FFCBD8DB"/>
      </right>
      <top style="thin">
        <color rgb="FFCBD8DB"/>
      </top>
      <bottom style="thin">
        <color rgb="FFCBD8DB"/>
      </bottom>
      <diagonal/>
    </border>
    <border>
      <left style="thin">
        <color rgb="FFCBD8DB"/>
      </left>
      <right style="thin">
        <color rgb="FFCBD8DB"/>
      </right>
      <top style="medium">
        <color rgb="FF0E4D52"/>
      </top>
      <bottom style="thin">
        <color rgb="FFCBD8DB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9" fillId="0" borderId="0" xfId="0" applyFont="1"/>
    <xf numFmtId="0" fontId="5" fillId="0" borderId="0" xfId="0" applyFont="1"/>
    <xf numFmtId="9" fontId="4" fillId="7" borderId="1" xfId="0" applyNumberFormat="1" applyFont="1" applyFill="1" applyBorder="1" applyAlignment="1">
      <alignment horizontal="center" vertical="center" wrapText="1"/>
    </xf>
    <xf numFmtId="165" fontId="4" fillId="7" borderId="1" xfId="0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6" fillId="5" borderId="1" xfId="0" applyFont="1" applyFill="1" applyBorder="1"/>
    <xf numFmtId="0" fontId="0" fillId="0" borderId="1" xfId="0" applyBorder="1"/>
    <xf numFmtId="164" fontId="7" fillId="0" borderId="1" xfId="0" applyNumberFormat="1" applyFont="1" applyBorder="1" applyAlignment="1">
      <alignment horizontal="right" vertical="center"/>
    </xf>
    <xf numFmtId="0" fontId="6" fillId="6" borderId="1" xfId="0" applyFont="1" applyFill="1" applyBorder="1"/>
    <xf numFmtId="0" fontId="6" fillId="4" borderId="1" xfId="0" applyFont="1" applyFill="1" applyBorder="1"/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7" fillId="9" borderId="1" xfId="0" applyNumberFormat="1" applyFont="1" applyFill="1" applyBorder="1" applyAlignment="1">
      <alignment horizontal="center" vertical="center" wrapText="1"/>
    </xf>
    <xf numFmtId="164" fontId="7" fillId="9" borderId="1" xfId="0" applyNumberFormat="1" applyFont="1" applyFill="1" applyBorder="1" applyAlignment="1">
      <alignment horizontal="right" vertical="center"/>
    </xf>
    <xf numFmtId="0" fontId="0" fillId="10" borderId="2" xfId="0" applyFill="1" applyBorder="1"/>
    <xf numFmtId="0" fontId="6" fillId="2" borderId="2" xfId="0" applyFont="1" applyFill="1" applyBorder="1" applyAlignment="1">
      <alignment horizontal="right" vertical="center"/>
    </xf>
    <xf numFmtId="166" fontId="8" fillId="10" borderId="2" xfId="0" applyNumberFormat="1" applyFont="1" applyFill="1" applyBorder="1" applyAlignment="1">
      <alignment horizontal="center" vertical="center" wrapText="1"/>
    </xf>
    <xf numFmtId="164" fontId="8" fillId="10" borderId="2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18">
    <dxf>
      <font>
        <b/>
        <sz val="10"/>
        <color rgb="FF842029"/>
        <name val="Arial"/>
        <charset val="1"/>
      </font>
      <fill>
        <patternFill>
          <bgColor rgb="FFF8D7DA"/>
        </patternFill>
      </fill>
    </dxf>
    <dxf>
      <font>
        <b/>
        <sz val="10"/>
        <color rgb="FF664D03"/>
        <name val="Arial"/>
        <charset val="1"/>
      </font>
      <fill>
        <patternFill>
          <bgColor rgb="FFFFF3CD"/>
        </patternFill>
      </fill>
    </dxf>
    <dxf>
      <font>
        <b/>
        <sz val="10"/>
        <color rgb="FF0F5132"/>
        <name val="Arial"/>
        <charset val="1"/>
      </font>
      <fill>
        <patternFill>
          <bgColor rgb="FFD1E7DD"/>
        </patternFill>
      </fill>
    </dxf>
    <dxf>
      <font>
        <b/>
        <sz val="10"/>
        <color rgb="FF1F4E5F"/>
        <name val="Arial"/>
        <charset val="1"/>
      </font>
      <fill>
        <patternFill>
          <bgColor rgb="FFDDEBF3"/>
        </patternFill>
      </fill>
    </dxf>
    <dxf>
      <font>
        <b/>
        <sz val="10"/>
        <color rgb="FF9C4221"/>
        <name val="Arial"/>
        <charset val="1"/>
      </font>
      <fill>
        <patternFill>
          <bgColor rgb="FFFCE4D6"/>
        </patternFill>
      </fill>
    </dxf>
    <dxf>
      <font>
        <b/>
        <sz val="10"/>
        <color rgb="FF44555A"/>
        <name val="Arial"/>
        <charset val="1"/>
      </font>
      <fill>
        <patternFill>
          <bgColor rgb="FFE2E8EA"/>
        </patternFill>
      </fill>
    </dxf>
    <dxf>
      <font>
        <b/>
        <sz val="10"/>
        <color rgb="FF664D03"/>
        <name val="Arial"/>
        <charset val="1"/>
      </font>
      <fill>
        <patternFill>
          <bgColor rgb="FFFFF3CD"/>
        </patternFill>
      </fill>
    </dxf>
    <dxf>
      <font>
        <b/>
        <sz val="10"/>
        <color rgb="FF842029"/>
        <name val="Arial"/>
        <charset val="1"/>
      </font>
      <fill>
        <patternFill>
          <bgColor rgb="FFF8D7DA"/>
        </patternFill>
      </fill>
    </dxf>
    <dxf>
      <font>
        <b/>
        <sz val="10"/>
        <color rgb="FF0F5132"/>
        <name val="Arial"/>
        <charset val="1"/>
      </font>
      <fill>
        <patternFill>
          <bgColor rgb="FFD1E7DD"/>
        </patternFill>
      </fill>
    </dxf>
    <dxf>
      <font>
        <b/>
        <sz val="10"/>
        <color rgb="FF664D03"/>
        <name val="Arial"/>
        <charset val="1"/>
      </font>
      <fill>
        <patternFill>
          <bgColor rgb="FFFFF3CD"/>
        </patternFill>
      </fill>
    </dxf>
    <dxf>
      <font>
        <b/>
        <sz val="10"/>
        <color rgb="FF842029"/>
        <name val="Arial"/>
        <charset val="1"/>
      </font>
      <fill>
        <patternFill>
          <bgColor rgb="FFF8D7DA"/>
        </patternFill>
      </fill>
    </dxf>
    <dxf>
      <font>
        <b/>
        <sz val="10"/>
        <color rgb="FF0F5132"/>
        <name val="Arial"/>
        <charset val="1"/>
      </font>
      <fill>
        <patternFill>
          <bgColor rgb="FFD1E7DD"/>
        </patternFill>
      </fill>
    </dxf>
    <dxf>
      <font>
        <b/>
        <sz val="10"/>
        <color rgb="FF664D03"/>
        <name val="Arial"/>
        <charset val="1"/>
      </font>
      <fill>
        <patternFill>
          <bgColor rgb="FFFFF3CD"/>
        </patternFill>
      </fill>
    </dxf>
    <dxf>
      <font>
        <b/>
        <sz val="10"/>
        <color rgb="FF842029"/>
        <name val="Arial"/>
        <charset val="1"/>
      </font>
      <fill>
        <patternFill>
          <bgColor rgb="FFF8D7DA"/>
        </patternFill>
      </fill>
    </dxf>
    <dxf>
      <font>
        <b/>
        <sz val="10"/>
        <color rgb="FF44555A"/>
        <name val="Arial"/>
        <charset val="1"/>
      </font>
      <fill>
        <patternFill>
          <bgColor rgb="FFE2E8EA"/>
        </patternFill>
      </fill>
    </dxf>
    <dxf>
      <font>
        <b/>
        <sz val="10"/>
        <color rgb="FF842029"/>
        <name val="Arial"/>
        <charset val="1"/>
      </font>
      <fill>
        <patternFill>
          <bgColor rgb="FFF8D7DA"/>
        </patternFill>
      </fill>
    </dxf>
    <dxf>
      <font>
        <b/>
        <sz val="10"/>
        <color rgb="FF664D03"/>
        <name val="Arial"/>
        <charset val="1"/>
      </font>
      <fill>
        <patternFill>
          <bgColor rgb="FFFFF3CD"/>
        </patternFill>
      </fill>
    </dxf>
    <dxf>
      <font>
        <b/>
        <sz val="10"/>
        <color rgb="FF0F5132"/>
        <name val="Arial"/>
        <charset val="1"/>
      </font>
      <fill>
        <patternFill>
          <bgColor rgb="FFD1E7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2636A"/>
      <rgbColor rgb="FFD9D9D9"/>
      <rgbColor rgb="FF878787"/>
      <rgbColor rgb="FF9999FF"/>
      <rgbColor rgb="FF842029"/>
      <rgbColor rgb="FFFFF3CD"/>
      <rgbColor rgb="FFDDEBF3"/>
      <rgbColor rgb="FF660066"/>
      <rgbColor rgb="FFFF8080"/>
      <rgbColor rgb="FF0066CC"/>
      <rgbColor rgb="FFCBD8DB"/>
      <rgbColor rgb="FF000080"/>
      <rgbColor rgb="FFFF00FF"/>
      <rgbColor rgb="FFFFFF00"/>
      <rgbColor rgb="FF00FFFF"/>
      <rgbColor rgb="FF800080"/>
      <rgbColor rgb="FF800000"/>
      <rgbColor rgb="FF44555A"/>
      <rgbColor rgb="FF0000FF"/>
      <rgbColor rgb="FF00CCFF"/>
      <rgbColor rgb="FFEFF4F5"/>
      <rgbColor rgb="FFD1E7DD"/>
      <rgbColor rgb="FFFCE4D6"/>
      <rgbColor rgb="FFDCE6E7"/>
      <rgbColor rgb="FFF5F9FA"/>
      <rgbColor rgb="FFE2E8EA"/>
      <rgbColor rgb="FFF8D7DA"/>
      <rgbColor rgb="FF4F81BD"/>
      <rgbColor rgb="FF33CCCC"/>
      <rgbColor rgb="FF9BBB59"/>
      <rgbColor rgb="FFFFCC00"/>
      <rgbColor rgb="FFE8A33D"/>
      <rgbColor rgb="FFC0504D"/>
      <rgbColor rgb="FF6B7B80"/>
      <rgbColor rgb="FF969696"/>
      <rgbColor rgb="FF0E4D52"/>
      <rgbColor rgb="FF2E7D5B"/>
      <rgbColor rgb="FF0F5132"/>
      <rgbColor rgb="FF664D03"/>
      <rgbColor rgb="FF9C4221"/>
      <rgbColor rgb="FFC0392B"/>
      <rgbColor rgb="FF1F4E5F"/>
      <rgbColor rgb="FF1C2B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500" b="1" strike="noStrike" spc="-1">
                <a:solidFill>
                  <a:srgbClr val="000000"/>
                </a:solidFill>
                <a:latin typeface="Calibri"/>
              </a:rPr>
              <a:t>Intervenciones: preventivo vs correctivo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Panel!$B$14</c:f>
              <c:strCache>
                <c:ptCount val="1"/>
                <c:pt idx="0">
                  <c:v>Nº interv.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dLbl>
              <c:idx val="0"/>
              <c:layout>
                <c:manualLayout>
                  <c:x val="-4.0358384300611595E-2"/>
                  <c:y val="5.6456990442320519E-2"/>
                </c:manualLayout>
              </c:layout>
              <c:dLblPos val="outEnd"/>
              <c:showLegendKey val="1"/>
              <c:showVal val="1"/>
              <c:showCatName val="1"/>
              <c:showSerName val="1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8671281833159773"/>
                      <c:h val="0.1863788249240571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48C-4B59-B487-1BB2F5ACC7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1"/>
            <c:showVal val="1"/>
            <c:showCatName val="1"/>
            <c:showSerName val="1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Panel!$A$15:$A$16</c:f>
              <c:strCache>
                <c:ptCount val="2"/>
                <c:pt idx="0">
                  <c:v>Preventivo</c:v>
                </c:pt>
                <c:pt idx="1">
                  <c:v>Correctivo</c:v>
                </c:pt>
              </c:strCache>
            </c:strRef>
          </c:cat>
          <c:val>
            <c:numRef>
              <c:f>Panel!$B$15:$B$16</c:f>
              <c:numCache>
                <c:formatCode>General</c:formatCode>
                <c:ptCount val="2"/>
                <c:pt idx="0">
                  <c:v>16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8C-4B59-B487-1BB2F5ACC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136696"/>
        <c:axId val="43763854"/>
      </c:barChart>
      <c:catAx>
        <c:axId val="9613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3763854"/>
        <c:crosses val="autoZero"/>
        <c:auto val="1"/>
        <c:lblAlgn val="ctr"/>
        <c:lblOffset val="100"/>
        <c:noMultiLvlLbl val="0"/>
      </c:catAx>
      <c:valAx>
        <c:axId val="437638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6136696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500" b="1" strike="noStrike" spc="-1">
                <a:solidFill>
                  <a:srgbClr val="000000"/>
                </a:solidFill>
                <a:latin typeface="Calibri"/>
              </a:rPr>
              <a:t>Estado del plan preventivo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Panel!$G$14</c:f>
              <c:strCache>
                <c:ptCount val="1"/>
                <c:pt idx="0">
                  <c:v>Nº tareas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3A42-4EEE-9311-53FC4FDA8BAF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3A42-4EEE-9311-53FC4FDA8BAF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3A42-4EEE-9311-53FC4FDA8BAF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3A42-4EEE-9311-53FC4FDA8BAF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3A42-4EEE-9311-53FC4FDA8BAF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3A42-4EEE-9311-53FC4FDA8BA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Panel!$F$15:$F$17</c:f>
              <c:strCache>
                <c:ptCount val="3"/>
                <c:pt idx="0">
                  <c:v>Vencida</c:v>
                </c:pt>
                <c:pt idx="1">
                  <c:v>Próxima</c:v>
                </c:pt>
                <c:pt idx="2">
                  <c:v>Al día</c:v>
                </c:pt>
              </c:strCache>
            </c:strRef>
          </c:cat>
          <c:val>
            <c:numRef>
              <c:f>Panel!$G$15:$G$17</c:f>
              <c:numCache>
                <c:formatCode>General</c:formatCode>
                <c:ptCount val="3"/>
                <c:pt idx="0">
                  <c:v>5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42-4EEE-9311-53FC4FDA8B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72775231505871063"/>
          <c:y val="0.44054678817515003"/>
          <c:w val="0.1867573373605404"/>
          <c:h val="0.25522671704823297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500" b="1" strike="noStrike" spc="-1">
                <a:solidFill>
                  <a:srgbClr val="000000"/>
                </a:solidFill>
                <a:latin typeface="Calibri"/>
              </a:rPr>
              <a:t>Coste de mantenimiento por categoría</a:t>
            </a:r>
          </a:p>
          <a:p>
            <a:pPr>
              <a:defRPr sz="1500" b="1" strike="noStrike" spc="-1">
                <a:solidFill>
                  <a:srgbClr val="000000"/>
                </a:solidFill>
                <a:latin typeface="Calibri"/>
              </a:defRPr>
            </a:pPr>
            <a:endParaRPr lang="de-DE" sz="1500" b="1" strike="noStrike" spc="-1">
              <a:solidFill>
                <a:srgbClr val="000000"/>
              </a:solidFill>
              <a:latin typeface="Calibri"/>
            </a:endParaRP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Panel!$K$14</c:f>
              <c:strCache>
                <c:ptCount val="1"/>
                <c:pt idx="0">
                  <c:v>Coste (€)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Panel!$J$15:$J$22</c:f>
              <c:strCache>
                <c:ptCount val="8"/>
                <c:pt idx="0">
                  <c:v>Climatización</c:v>
                </c:pt>
                <c:pt idx="1">
                  <c:v>Elevación</c:v>
                </c:pt>
                <c:pt idx="2">
                  <c:v>Energía</c:v>
                </c:pt>
                <c:pt idx="3">
                  <c:v>Producción</c:v>
                </c:pt>
                <c:pt idx="4">
                  <c:v>Vehículos</c:v>
                </c:pt>
                <c:pt idx="5">
                  <c:v>Seguridad</c:v>
                </c:pt>
                <c:pt idx="6">
                  <c:v>Fontanería</c:v>
                </c:pt>
                <c:pt idx="7">
                  <c:v>Informática</c:v>
                </c:pt>
              </c:strCache>
            </c:strRef>
          </c:cat>
          <c:val>
            <c:numRef>
              <c:f>Panel!$K$15:$K$22</c:f>
              <c:numCache>
                <c:formatCode>#,##0" €"</c:formatCode>
                <c:ptCount val="8"/>
                <c:pt idx="0">
                  <c:v>395</c:v>
                </c:pt>
                <c:pt idx="1">
                  <c:v>1060</c:v>
                </c:pt>
                <c:pt idx="2">
                  <c:v>470</c:v>
                </c:pt>
                <c:pt idx="3">
                  <c:v>515</c:v>
                </c:pt>
                <c:pt idx="4">
                  <c:v>640</c:v>
                </c:pt>
                <c:pt idx="5">
                  <c:v>80</c:v>
                </c:pt>
                <c:pt idx="6">
                  <c:v>740</c:v>
                </c:pt>
                <c:pt idx="7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4-48B9-8E18-378B67006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612310"/>
        <c:axId val="35330597"/>
      </c:barChart>
      <c:catAx>
        <c:axId val="1361231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5330597"/>
        <c:crosses val="autoZero"/>
        <c:auto val="1"/>
        <c:lblAlgn val="ctr"/>
        <c:lblOffset val="100"/>
        <c:noMultiLvlLbl val="0"/>
      </c:catAx>
      <c:valAx>
        <c:axId val="35330597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3612310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5</xdr:col>
      <xdr:colOff>90360</xdr:colOff>
      <xdr:row>33</xdr:row>
      <xdr:rowOff>32400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19</xdr:row>
      <xdr:rowOff>0</xdr:rowOff>
    </xdr:from>
    <xdr:to>
      <xdr:col>9</xdr:col>
      <xdr:colOff>216360</xdr:colOff>
      <xdr:row>33</xdr:row>
      <xdr:rowOff>32400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19</xdr:row>
      <xdr:rowOff>0</xdr:rowOff>
    </xdr:from>
    <xdr:to>
      <xdr:col>14</xdr:col>
      <xdr:colOff>559440</xdr:colOff>
      <xdr:row>33</xdr:row>
      <xdr:rowOff>32400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D52"/>
    <pageSetUpPr fitToPage="1"/>
  </sheetPr>
  <dimension ref="A1:L41"/>
  <sheetViews>
    <sheetView showGridLines="0" tabSelected="1" zoomScaleNormal="100" workbookViewId="0">
      <selection activeCell="T26" sqref="T26"/>
    </sheetView>
  </sheetViews>
  <sheetFormatPr baseColWidth="10" defaultColWidth="8.7109375" defaultRowHeight="15" x14ac:dyDescent="0.25"/>
  <cols>
    <col min="1" max="12" width="12" customWidth="1"/>
  </cols>
  <sheetData>
    <row r="1" spans="1:12" ht="30" customHeight="1" x14ac:dyDescent="0.25">
      <c r="A1" s="14" t="s">
        <v>227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9.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18" customHeight="1" x14ac:dyDescent="0.25">
      <c r="A4" s="12" t="s">
        <v>2</v>
      </c>
      <c r="B4" s="12"/>
      <c r="C4" s="12"/>
      <c r="D4" s="11" t="s">
        <v>3</v>
      </c>
      <c r="E4" s="11"/>
      <c r="F4" s="11"/>
      <c r="G4" s="10" t="s">
        <v>4</v>
      </c>
      <c r="H4" s="10"/>
      <c r="I4" s="10"/>
      <c r="J4" s="9" t="s">
        <v>5</v>
      </c>
      <c r="K4" s="9"/>
      <c r="L4" s="9"/>
    </row>
    <row r="5" spans="1:12" ht="18" customHeight="1" x14ac:dyDescent="0.25">
      <c r="A5" s="8">
        <f>COUNTA(Equipos!$A$5:$A$64)</f>
        <v>12</v>
      </c>
      <c r="B5" s="8"/>
      <c r="C5" s="8"/>
      <c r="D5" s="8">
        <f>COUNTIF(Equipos!$I$5:$I$64,"Operativo")</f>
        <v>10</v>
      </c>
      <c r="E5" s="8"/>
      <c r="F5" s="8"/>
      <c r="G5" s="8">
        <f ca="1">COUNTIF('Plan preventivo'!$I$5:$I$85,"Vencida")</f>
        <v>5</v>
      </c>
      <c r="H5" s="8"/>
      <c r="I5" s="8"/>
      <c r="J5" s="8">
        <f ca="1">COUNTIF('Plan preventivo'!$I$5:$I$85,"Próxima")</f>
        <v>5</v>
      </c>
      <c r="K5" s="8"/>
      <c r="L5" s="8"/>
    </row>
    <row r="6" spans="1:12" ht="15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8" spans="1:12" ht="18" customHeight="1" x14ac:dyDescent="0.25">
      <c r="A8" s="7" t="s">
        <v>6</v>
      </c>
      <c r="B8" s="7"/>
      <c r="C8" s="7"/>
      <c r="D8" s="12" t="s">
        <v>7</v>
      </c>
      <c r="E8" s="12"/>
      <c r="F8" s="12"/>
      <c r="G8" s="6" t="s">
        <v>8</v>
      </c>
      <c r="H8" s="6"/>
      <c r="I8" s="6"/>
      <c r="J8" s="11" t="s">
        <v>9</v>
      </c>
      <c r="K8" s="11"/>
      <c r="L8" s="11"/>
    </row>
    <row r="9" spans="1:12" ht="18" customHeight="1" x14ac:dyDescent="0.25">
      <c r="A9" s="8">
        <f>COUNTA(Historial!$E$5:$E$205)</f>
        <v>23</v>
      </c>
      <c r="B9" s="8"/>
      <c r="C9" s="8"/>
      <c r="D9" s="5">
        <f>SUM(Historial!$L$5:$L$27)</f>
        <v>3995</v>
      </c>
      <c r="E9" s="5"/>
      <c r="F9" s="5"/>
      <c r="G9" s="4">
        <f>SUM(Historial!$I$5:$I$27)</f>
        <v>49.5</v>
      </c>
      <c r="H9" s="4"/>
      <c r="I9" s="4"/>
      <c r="J9" s="3">
        <f ca="1">IFERROR((COUNTIF('Plan preventivo'!$I$5:$I$85,"Al día")+COUNTIF('Plan preventivo'!$I$5:$I$85,"Próxima"))/COUNTA('Plan preventivo'!$I$5:$I$85),0)</f>
        <v>0.6875</v>
      </c>
      <c r="K9" s="3"/>
      <c r="L9" s="3"/>
    </row>
    <row r="10" spans="1:12" ht="15.75" customHeight="1" x14ac:dyDescent="0.25">
      <c r="A10" s="8"/>
      <c r="B10" s="8"/>
      <c r="C10" s="8"/>
      <c r="D10" s="5"/>
      <c r="E10" s="5"/>
      <c r="F10" s="5"/>
      <c r="G10" s="4"/>
      <c r="H10" s="4"/>
      <c r="I10" s="4"/>
      <c r="J10" s="3"/>
      <c r="K10" s="3"/>
      <c r="L10" s="3"/>
    </row>
    <row r="13" spans="1:12" x14ac:dyDescent="0.25">
      <c r="A13" s="2" t="s">
        <v>10</v>
      </c>
      <c r="B13" s="2"/>
      <c r="C13" s="2"/>
      <c r="D13" s="2"/>
      <c r="F13" s="2" t="s">
        <v>11</v>
      </c>
      <c r="G13" s="2"/>
      <c r="H13" s="2"/>
      <c r="J13" s="2" t="s">
        <v>12</v>
      </c>
      <c r="K13" s="2"/>
      <c r="L13" s="2"/>
    </row>
    <row r="14" spans="1:12" x14ac:dyDescent="0.25">
      <c r="A14" s="15" t="s">
        <v>13</v>
      </c>
      <c r="B14" s="15" t="s">
        <v>14</v>
      </c>
      <c r="C14" s="15" t="s">
        <v>15</v>
      </c>
      <c r="F14" s="15" t="s">
        <v>16</v>
      </c>
      <c r="G14" s="15" t="s">
        <v>17</v>
      </c>
      <c r="J14" s="15" t="s">
        <v>18</v>
      </c>
      <c r="K14" s="15" t="s">
        <v>15</v>
      </c>
    </row>
    <row r="15" spans="1:12" x14ac:dyDescent="0.25">
      <c r="A15" s="16" t="s">
        <v>19</v>
      </c>
      <c r="B15" s="17">
        <f>COUNTIF(Historial!$E$5:$E$205,"Preventivo")</f>
        <v>16</v>
      </c>
      <c r="C15" s="18">
        <f>SUMIF(Historial!$E$5:$E$205,"Preventivo",Historial!$L$5:$L$205)</f>
        <v>1910</v>
      </c>
      <c r="F15" s="19" t="s">
        <v>20</v>
      </c>
      <c r="G15" s="17">
        <f ca="1">COUNTIF('Plan preventivo'!$I$5:$I$85,"Vencida")</f>
        <v>5</v>
      </c>
      <c r="H15" s="20"/>
      <c r="J15" s="16" t="s">
        <v>21</v>
      </c>
      <c r="K15" s="21">
        <f>SUMPRODUCT((COUNTIFS(Equipos!$A$5:$A$64,Historial!$C$5:$C$205,Equipos!$C$5:$C$64,"Climatización")&gt;0)*Historial!$L$5:$L$205)</f>
        <v>395</v>
      </c>
    </row>
    <row r="16" spans="1:12" x14ac:dyDescent="0.25">
      <c r="A16" s="16" t="s">
        <v>22</v>
      </c>
      <c r="B16" s="17">
        <f>COUNTIF(Historial!$E$5:$E$205,"Correctivo")</f>
        <v>7</v>
      </c>
      <c r="C16" s="18">
        <f>SUMIF(Historial!$E$5:$E$205,"Correctivo",Historial!$L$5:$L$205)</f>
        <v>2085</v>
      </c>
      <c r="F16" s="22" t="s">
        <v>23</v>
      </c>
      <c r="G16" s="17">
        <f ca="1">COUNTIF('Plan preventivo'!$I$5:$I$85,"Próxima")</f>
        <v>5</v>
      </c>
      <c r="H16" s="20"/>
      <c r="J16" s="16" t="s">
        <v>24</v>
      </c>
      <c r="K16" s="21">
        <f>SUMPRODUCT((COUNTIFS(Equipos!$A$5:$A$64,Historial!$C$5:$C$205,Equipos!$C$5:$C$64,"Elevación")&gt;0)*Historial!$L$5:$L$205)</f>
        <v>1060</v>
      </c>
    </row>
    <row r="17" spans="6:11" x14ac:dyDescent="0.25">
      <c r="F17" s="23" t="s">
        <v>25</v>
      </c>
      <c r="G17" s="17">
        <f ca="1">COUNTIF('Plan preventivo'!$I$5:$I$85,"Al día")</f>
        <v>6</v>
      </c>
      <c r="H17" s="20"/>
      <c r="J17" s="16" t="s">
        <v>26</v>
      </c>
      <c r="K17" s="21">
        <f>SUMPRODUCT((COUNTIFS(Equipos!$A$5:$A$64,Historial!$C$5:$C$205,Equipos!$C$5:$C$64,"Energía")&gt;0)*Historial!$L$5:$L$205)</f>
        <v>470</v>
      </c>
    </row>
    <row r="18" spans="6:11" x14ac:dyDescent="0.25">
      <c r="J18" s="16" t="s">
        <v>27</v>
      </c>
      <c r="K18" s="21">
        <f>SUMPRODUCT((COUNTIFS(Equipos!$A$5:$A$64,Historial!$C$5:$C$205,Equipos!$C$5:$C$64,"Producción")&gt;0)*Historial!$L$5:$L$205)</f>
        <v>515</v>
      </c>
    </row>
    <row r="19" spans="6:11" x14ac:dyDescent="0.25">
      <c r="J19" s="16" t="s">
        <v>28</v>
      </c>
      <c r="K19" s="21">
        <f>SUMPRODUCT((COUNTIFS(Equipos!$A$5:$A$64,Historial!$C$5:$C$205,Equipos!$C$5:$C$64,"Vehículos")&gt;0)*Historial!$L$5:$L$205)</f>
        <v>640</v>
      </c>
    </row>
    <row r="20" spans="6:11" x14ac:dyDescent="0.25">
      <c r="J20" s="16" t="s">
        <v>29</v>
      </c>
      <c r="K20" s="21">
        <f>SUMPRODUCT((COUNTIFS(Equipos!$A$5:$A$64,Historial!$C$5:$C$205,Equipos!$C$5:$C$64,"Seguridad")&gt;0)*Historial!$L$5:$L$205)</f>
        <v>80</v>
      </c>
    </row>
    <row r="21" spans="6:11" x14ac:dyDescent="0.25">
      <c r="J21" s="16" t="s">
        <v>30</v>
      </c>
      <c r="K21" s="21">
        <f>SUMPRODUCT((COUNTIFS(Equipos!$A$5:$A$64,Historial!$C$5:$C$205,Equipos!$C$5:$C$64,"Fontanería")&gt;0)*Historial!$L$5:$L$205)</f>
        <v>740</v>
      </c>
    </row>
    <row r="22" spans="6:11" x14ac:dyDescent="0.25">
      <c r="J22" s="16" t="s">
        <v>31</v>
      </c>
      <c r="K22" s="21">
        <f>SUMPRODUCT((COUNTIFS(Equipos!$A$5:$A$64,Historial!$C$5:$C$205,Equipos!$C$5:$C$64,"Informática")&gt;0)*Historial!$L$5:$L$205)</f>
        <v>95</v>
      </c>
    </row>
    <row r="36" spans="1:12" x14ac:dyDescent="0.25">
      <c r="A36" s="24" t="s">
        <v>32</v>
      </c>
    </row>
    <row r="37" spans="1:12" x14ac:dyDescent="0.25">
      <c r="A37" s="1" t="s">
        <v>33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 t="s">
        <v>34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 t="s">
        <v>35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 t="s">
        <v>36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 t="s">
        <v>37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</sheetData>
  <mergeCells count="26">
    <mergeCell ref="A37:L37"/>
    <mergeCell ref="A38:L38"/>
    <mergeCell ref="A39:L39"/>
    <mergeCell ref="A40:L40"/>
    <mergeCell ref="A41:L41"/>
    <mergeCell ref="A9:C10"/>
    <mergeCell ref="D9:F10"/>
    <mergeCell ref="G9:I10"/>
    <mergeCell ref="J9:L10"/>
    <mergeCell ref="A13:D13"/>
    <mergeCell ref="F13:H13"/>
    <mergeCell ref="J13:L13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2636A"/>
    <pageSetUpPr fitToPage="1"/>
  </sheetPr>
  <dimension ref="A1:K16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0" customWidth="1"/>
    <col min="2" max="2" width="32" customWidth="1"/>
    <col min="3" max="3" width="14" customWidth="1"/>
    <col min="4" max="4" width="12" customWidth="1"/>
    <col min="5" max="5" width="14" customWidth="1"/>
    <col min="6" max="6" width="15" customWidth="1"/>
    <col min="7" max="7" width="18" customWidth="1"/>
    <col min="8" max="8" width="13" customWidth="1"/>
    <col min="9" max="9" width="15" customWidth="1"/>
    <col min="10" max="10" width="11" customWidth="1"/>
    <col min="11" max="11" width="16" customWidth="1"/>
  </cols>
  <sheetData>
    <row r="1" spans="1:11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9.5" customHeight="1" x14ac:dyDescent="0.25">
      <c r="A2" s="13" t="s">
        <v>38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4" spans="1:11" ht="30" customHeight="1" x14ac:dyDescent="0.25">
      <c r="A4" s="25" t="s">
        <v>39</v>
      </c>
      <c r="B4" s="25" t="s">
        <v>40</v>
      </c>
      <c r="C4" s="25" t="s">
        <v>18</v>
      </c>
      <c r="D4" s="25" t="s">
        <v>41</v>
      </c>
      <c r="E4" s="25" t="s">
        <v>42</v>
      </c>
      <c r="F4" s="25" t="s">
        <v>43</v>
      </c>
      <c r="G4" s="25" t="s">
        <v>44</v>
      </c>
      <c r="H4" s="25" t="s">
        <v>45</v>
      </c>
      <c r="I4" s="25" t="s">
        <v>16</v>
      </c>
      <c r="J4" s="25" t="s">
        <v>46</v>
      </c>
      <c r="K4" s="25" t="s">
        <v>47</v>
      </c>
    </row>
    <row r="5" spans="1:11" x14ac:dyDescent="0.25">
      <c r="A5" s="17" t="s">
        <v>48</v>
      </c>
      <c r="B5" s="26" t="s">
        <v>49</v>
      </c>
      <c r="C5" s="26" t="s">
        <v>21</v>
      </c>
      <c r="D5" s="26" t="s">
        <v>50</v>
      </c>
      <c r="E5" s="26" t="s">
        <v>51</v>
      </c>
      <c r="F5" s="26" t="s">
        <v>52</v>
      </c>
      <c r="G5" s="26" t="s">
        <v>53</v>
      </c>
      <c r="H5" s="27">
        <v>44267</v>
      </c>
      <c r="I5" s="17" t="s">
        <v>54</v>
      </c>
      <c r="J5" s="17" t="s">
        <v>55</v>
      </c>
      <c r="K5" s="26" t="s">
        <v>56</v>
      </c>
    </row>
    <row r="6" spans="1:11" x14ac:dyDescent="0.25">
      <c r="A6" s="28" t="s">
        <v>57</v>
      </c>
      <c r="B6" s="29" t="s">
        <v>58</v>
      </c>
      <c r="C6" s="29" t="s">
        <v>24</v>
      </c>
      <c r="D6" s="29" t="s">
        <v>59</v>
      </c>
      <c r="E6" s="29" t="s">
        <v>60</v>
      </c>
      <c r="F6" s="29" t="s">
        <v>61</v>
      </c>
      <c r="G6" s="29" t="s">
        <v>62</v>
      </c>
      <c r="H6" s="30">
        <v>43712</v>
      </c>
      <c r="I6" s="28" t="s">
        <v>54</v>
      </c>
      <c r="J6" s="28" t="s">
        <v>55</v>
      </c>
      <c r="K6" s="29" t="s">
        <v>63</v>
      </c>
    </row>
    <row r="7" spans="1:11" x14ac:dyDescent="0.25">
      <c r="A7" s="17" t="s">
        <v>64</v>
      </c>
      <c r="B7" s="26" t="s">
        <v>65</v>
      </c>
      <c r="C7" s="26" t="s">
        <v>26</v>
      </c>
      <c r="D7" s="26" t="s">
        <v>66</v>
      </c>
      <c r="E7" s="26" t="s">
        <v>67</v>
      </c>
      <c r="F7" s="26" t="s">
        <v>68</v>
      </c>
      <c r="G7" s="26" t="s">
        <v>69</v>
      </c>
      <c r="H7" s="27">
        <v>44003</v>
      </c>
      <c r="I7" s="17" t="s">
        <v>54</v>
      </c>
      <c r="J7" s="17" t="s">
        <v>55</v>
      </c>
      <c r="K7" s="26" t="s">
        <v>70</v>
      </c>
    </row>
    <row r="8" spans="1:11" x14ac:dyDescent="0.25">
      <c r="A8" s="28" t="s">
        <v>71</v>
      </c>
      <c r="B8" s="29" t="s">
        <v>72</v>
      </c>
      <c r="C8" s="29" t="s">
        <v>27</v>
      </c>
      <c r="D8" s="29" t="s">
        <v>73</v>
      </c>
      <c r="E8" s="29" t="s">
        <v>74</v>
      </c>
      <c r="F8" s="29" t="s">
        <v>75</v>
      </c>
      <c r="G8" s="29" t="s">
        <v>76</v>
      </c>
      <c r="H8" s="30">
        <v>43412</v>
      </c>
      <c r="I8" s="28" t="s">
        <v>77</v>
      </c>
      <c r="J8" s="28" t="s">
        <v>78</v>
      </c>
      <c r="K8" s="29" t="s">
        <v>79</v>
      </c>
    </row>
    <row r="9" spans="1:11" x14ac:dyDescent="0.25">
      <c r="A9" s="17" t="s">
        <v>80</v>
      </c>
      <c r="B9" s="26" t="s">
        <v>81</v>
      </c>
      <c r="C9" s="26" t="s">
        <v>28</v>
      </c>
      <c r="D9" s="26" t="s">
        <v>82</v>
      </c>
      <c r="E9" s="26" t="s">
        <v>83</v>
      </c>
      <c r="F9" s="26" t="s">
        <v>84</v>
      </c>
      <c r="G9" s="26" t="s">
        <v>85</v>
      </c>
      <c r="H9" s="27">
        <v>44578</v>
      </c>
      <c r="I9" s="17" t="s">
        <v>54</v>
      </c>
      <c r="J9" s="17" t="s">
        <v>78</v>
      </c>
      <c r="K9" s="26" t="s">
        <v>86</v>
      </c>
    </row>
    <row r="10" spans="1:11" x14ac:dyDescent="0.25">
      <c r="A10" s="28" t="s">
        <v>87</v>
      </c>
      <c r="B10" s="29" t="s">
        <v>88</v>
      </c>
      <c r="C10" s="29" t="s">
        <v>21</v>
      </c>
      <c r="D10" s="29" t="s">
        <v>89</v>
      </c>
      <c r="E10" s="29" t="s">
        <v>90</v>
      </c>
      <c r="F10" s="29" t="s">
        <v>91</v>
      </c>
      <c r="G10" s="29" t="s">
        <v>92</v>
      </c>
      <c r="H10" s="30">
        <v>42827</v>
      </c>
      <c r="I10" s="28" t="s">
        <v>54</v>
      </c>
      <c r="J10" s="28" t="s">
        <v>55</v>
      </c>
      <c r="K10" s="29" t="s">
        <v>56</v>
      </c>
    </row>
    <row r="11" spans="1:11" x14ac:dyDescent="0.25">
      <c r="A11" s="17" t="s">
        <v>93</v>
      </c>
      <c r="B11" s="26" t="s">
        <v>94</v>
      </c>
      <c r="C11" s="26" t="s">
        <v>29</v>
      </c>
      <c r="D11" s="26" t="s">
        <v>95</v>
      </c>
      <c r="E11" s="26" t="s">
        <v>96</v>
      </c>
      <c r="F11" s="26" t="s">
        <v>97</v>
      </c>
      <c r="G11" s="26" t="s">
        <v>98</v>
      </c>
      <c r="H11" s="27">
        <v>44134</v>
      </c>
      <c r="I11" s="17" t="s">
        <v>54</v>
      </c>
      <c r="J11" s="17" t="s">
        <v>55</v>
      </c>
      <c r="K11" s="26" t="s">
        <v>70</v>
      </c>
    </row>
    <row r="12" spans="1:11" x14ac:dyDescent="0.25">
      <c r="A12" s="28" t="s">
        <v>99</v>
      </c>
      <c r="B12" s="29" t="s">
        <v>100</v>
      </c>
      <c r="C12" s="29" t="s">
        <v>27</v>
      </c>
      <c r="D12" s="29" t="s">
        <v>101</v>
      </c>
      <c r="E12" s="29" t="s">
        <v>102</v>
      </c>
      <c r="F12" s="29" t="s">
        <v>103</v>
      </c>
      <c r="G12" s="29" t="s">
        <v>104</v>
      </c>
      <c r="H12" s="30">
        <v>44396</v>
      </c>
      <c r="I12" s="28" t="s">
        <v>54</v>
      </c>
      <c r="J12" s="28" t="s">
        <v>105</v>
      </c>
      <c r="K12" s="29" t="s">
        <v>79</v>
      </c>
    </row>
    <row r="13" spans="1:11" x14ac:dyDescent="0.25">
      <c r="A13" s="17" t="s">
        <v>106</v>
      </c>
      <c r="B13" s="26" t="s">
        <v>107</v>
      </c>
      <c r="C13" s="26" t="s">
        <v>31</v>
      </c>
      <c r="D13" s="26" t="s">
        <v>108</v>
      </c>
      <c r="E13" s="26" t="s">
        <v>109</v>
      </c>
      <c r="F13" s="26" t="s">
        <v>110</v>
      </c>
      <c r="G13" s="26" t="s">
        <v>111</v>
      </c>
      <c r="H13" s="27">
        <v>44963</v>
      </c>
      <c r="I13" s="17" t="s">
        <v>54</v>
      </c>
      <c r="J13" s="17" t="s">
        <v>55</v>
      </c>
      <c r="K13" s="26" t="s">
        <v>63</v>
      </c>
    </row>
    <row r="14" spans="1:11" x14ac:dyDescent="0.25">
      <c r="A14" s="28" t="s">
        <v>112</v>
      </c>
      <c r="B14" s="29" t="s">
        <v>113</v>
      </c>
      <c r="C14" s="29" t="s">
        <v>24</v>
      </c>
      <c r="D14" s="29" t="s">
        <v>114</v>
      </c>
      <c r="E14" s="29" t="s">
        <v>115</v>
      </c>
      <c r="F14" s="29" t="s">
        <v>116</v>
      </c>
      <c r="G14" s="29" t="s">
        <v>117</v>
      </c>
      <c r="H14" s="30">
        <v>43608</v>
      </c>
      <c r="I14" s="28" t="s">
        <v>54</v>
      </c>
      <c r="J14" s="28" t="s">
        <v>78</v>
      </c>
      <c r="K14" s="29" t="s">
        <v>79</v>
      </c>
    </row>
    <row r="15" spans="1:11" ht="25.5" x14ac:dyDescent="0.25">
      <c r="A15" s="17" t="s">
        <v>118</v>
      </c>
      <c r="B15" s="26" t="s">
        <v>119</v>
      </c>
      <c r="C15" s="26" t="s">
        <v>30</v>
      </c>
      <c r="D15" s="26" t="s">
        <v>120</v>
      </c>
      <c r="E15" s="26" t="s">
        <v>121</v>
      </c>
      <c r="F15" s="26" t="s">
        <v>122</v>
      </c>
      <c r="G15" s="26" t="s">
        <v>123</v>
      </c>
      <c r="H15" s="27">
        <v>44816</v>
      </c>
      <c r="I15" s="17" t="s">
        <v>124</v>
      </c>
      <c r="J15" s="17" t="s">
        <v>78</v>
      </c>
      <c r="K15" s="26" t="s">
        <v>86</v>
      </c>
    </row>
    <row r="16" spans="1:11" x14ac:dyDescent="0.25">
      <c r="A16" s="28" t="s">
        <v>125</v>
      </c>
      <c r="B16" s="29" t="s">
        <v>126</v>
      </c>
      <c r="C16" s="29" t="s">
        <v>28</v>
      </c>
      <c r="D16" s="29" t="s">
        <v>127</v>
      </c>
      <c r="E16" s="29" t="s">
        <v>128</v>
      </c>
      <c r="F16" s="29" t="s">
        <v>129</v>
      </c>
      <c r="G16" s="29" t="s">
        <v>85</v>
      </c>
      <c r="H16" s="30">
        <v>45078</v>
      </c>
      <c r="I16" s="28" t="s">
        <v>54</v>
      </c>
      <c r="J16" s="28" t="s">
        <v>105</v>
      </c>
      <c r="K16" s="29" t="s">
        <v>86</v>
      </c>
    </row>
  </sheetData>
  <mergeCells count="2">
    <mergeCell ref="A1:K1"/>
    <mergeCell ref="A2:K2"/>
  </mergeCells>
  <conditionalFormatting sqref="I5:I16">
    <cfRule type="cellIs" dxfId="17" priority="2" operator="equal">
      <formula>"Operativo"</formula>
    </cfRule>
    <cfRule type="cellIs" dxfId="16" priority="3" operator="equal">
      <formula>"En reparación"</formula>
    </cfRule>
    <cfRule type="cellIs" dxfId="15" priority="4" operator="equal">
      <formula>"Fuera de servicio"</formula>
    </cfRule>
    <cfRule type="cellIs" dxfId="14" priority="5" operator="equal">
      <formula>"Baja"</formula>
    </cfRule>
  </conditionalFormatting>
  <conditionalFormatting sqref="J5:J16">
    <cfRule type="cellIs" dxfId="13" priority="6" operator="equal">
      <formula>"Alta"</formula>
    </cfRule>
    <cfRule type="cellIs" dxfId="12" priority="7" operator="equal">
      <formula>"Media"</formula>
    </cfRule>
    <cfRule type="cellIs" dxfId="11" priority="8" operator="equal">
      <formula>"Baja"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Valor no válido" error="Selecciona un valor de la lista." xr:uid="{00000000-0002-0000-0100-000000000000}">
          <x14:formula1>
            <xm:f>Listas!$A$4:$A$11</xm:f>
          </x14:formula1>
          <x14:formula2>
            <xm:f>0</xm:f>
          </x14:formula2>
          <xm:sqref>C5:C65</xm:sqref>
        </x14:dataValidation>
        <x14:dataValidation type="list" allowBlank="1" errorTitle="Valor no válido" error="Selecciona un valor de la lista." xr:uid="{00000000-0002-0000-0100-000001000000}">
          <x14:formula1>
            <xm:f>Listas!$C$4:$C$7</xm:f>
          </x14:formula1>
          <x14:formula2>
            <xm:f>0</xm:f>
          </x14:formula2>
          <xm:sqref>I5:I65</xm:sqref>
        </x14:dataValidation>
        <x14:dataValidation type="list" allowBlank="1" errorTitle="Valor no válido" error="Selecciona un valor de la lista." xr:uid="{00000000-0002-0000-0100-000002000000}">
          <x14:formula1>
            <xm:f>Listas!$E$4:$E$6</xm:f>
          </x14:formula1>
          <x14:formula2>
            <xm:f>0</xm:f>
          </x14:formula2>
          <xm:sqref>J5:J65</xm:sqref>
        </x14:dataValidation>
        <x14:dataValidation type="list" allowBlank="1" errorTitle="Valor no válido" error="Selecciona un valor de la lista." xr:uid="{00000000-0002-0000-0100-000003000000}">
          <x14:formula1>
            <xm:f>Listas!$Q$4:$Q$8</xm:f>
          </x14:formula1>
          <x14:formula2>
            <xm:f>0</xm:f>
          </x14:formula2>
          <xm:sqref>K5:K65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2636A"/>
    <pageSetUpPr fitToPage="1"/>
  </sheetPr>
  <dimension ref="A1:L20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8" customWidth="1"/>
    <col min="2" max="2" width="28" customWidth="1"/>
    <col min="3" max="3" width="30" customWidth="1"/>
    <col min="4" max="4" width="12" customWidth="1"/>
    <col min="5" max="5" width="7" customWidth="1"/>
    <col min="6" max="7" width="15" customWidth="1"/>
    <col min="8" max="8" width="12" customWidth="1"/>
    <col min="9" max="9" width="11" customWidth="1"/>
    <col min="10" max="10" width="10" customWidth="1"/>
    <col min="11" max="11" width="16" customWidth="1"/>
    <col min="12" max="12" width="26" customWidth="1"/>
  </cols>
  <sheetData>
    <row r="1" spans="1:12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9.5" customHeight="1" x14ac:dyDescent="0.25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30" customHeight="1" x14ac:dyDescent="0.25">
      <c r="A4" s="25" t="s">
        <v>131</v>
      </c>
      <c r="B4" s="25" t="s">
        <v>132</v>
      </c>
      <c r="C4" s="25" t="s">
        <v>133</v>
      </c>
      <c r="D4" s="25" t="s">
        <v>134</v>
      </c>
      <c r="E4" s="25" t="s">
        <v>135</v>
      </c>
      <c r="F4" s="25" t="s">
        <v>136</v>
      </c>
      <c r="G4" s="25" t="s">
        <v>137</v>
      </c>
      <c r="H4" s="25" t="s">
        <v>138</v>
      </c>
      <c r="I4" s="25" t="s">
        <v>16</v>
      </c>
      <c r="J4" s="25" t="s">
        <v>139</v>
      </c>
      <c r="K4" s="25" t="s">
        <v>47</v>
      </c>
      <c r="L4" s="25" t="s">
        <v>140</v>
      </c>
    </row>
    <row r="5" spans="1:12" ht="25.5" x14ac:dyDescent="0.25">
      <c r="A5" s="17" t="s">
        <v>48</v>
      </c>
      <c r="B5" s="26" t="str">
        <f>IFERROR(INDEX(Equipos!$B$5:$B$65,MATCH(A5,Equipos!$A$5:$A$65,0)),"")</f>
        <v>Climatizadora cubierta ala norte</v>
      </c>
      <c r="C5" s="26" t="s">
        <v>141</v>
      </c>
      <c r="D5" s="17" t="s">
        <v>142</v>
      </c>
      <c r="E5" s="17">
        <f>IFERROR(INDEX(Listas!$U$4:$U$11,MATCH(D5,Listas!$T$4:$T$11,0)),"")</f>
        <v>30</v>
      </c>
      <c r="F5" s="27">
        <v>46206</v>
      </c>
      <c r="G5" s="27">
        <f t="shared" ref="G5:G20" si="0">IF(F5="","",F5+E5)</f>
        <v>46236</v>
      </c>
      <c r="H5" s="17">
        <f t="shared" ref="H5:H20" ca="1" si="1">IF(G5="","",G5-TODAY())</f>
        <v>-24</v>
      </c>
      <c r="I5" s="17" t="str">
        <f t="shared" ref="I5:I20" ca="1" si="2">IF(G5="","",IF(H5&lt;0,"Vencida",IF(H5&lt;=15,"Próxima","Al día")))</f>
        <v>Vencida</v>
      </c>
      <c r="J5" s="17" t="s">
        <v>55</v>
      </c>
      <c r="K5" s="26" t="s">
        <v>56</v>
      </c>
      <c r="L5" s="26" t="s">
        <v>143</v>
      </c>
    </row>
    <row r="6" spans="1:12" ht="25.5" x14ac:dyDescent="0.25">
      <c r="A6" s="28" t="s">
        <v>57</v>
      </c>
      <c r="B6" s="29" t="str">
        <f>IFERROR(INDEX(Equipos!$B$5:$B$65,MATCH(A6,Equipos!$A$5:$A$65,0)),"")</f>
        <v>Ascensor principal</v>
      </c>
      <c r="C6" s="29" t="s">
        <v>144</v>
      </c>
      <c r="D6" s="28" t="s">
        <v>145</v>
      </c>
      <c r="E6" s="28">
        <f>IFERROR(INDEX(Listas!$U$4:$U$11,MATCH(D6,Listas!$T$4:$T$11,0)),"")</f>
        <v>180</v>
      </c>
      <c r="F6" s="30">
        <v>46096</v>
      </c>
      <c r="G6" s="30">
        <f t="shared" si="0"/>
        <v>46276</v>
      </c>
      <c r="H6" s="28">
        <f t="shared" ca="1" si="1"/>
        <v>16</v>
      </c>
      <c r="I6" s="28" t="str">
        <f t="shared" ca="1" si="2"/>
        <v>Al día</v>
      </c>
      <c r="J6" s="28" t="s">
        <v>55</v>
      </c>
      <c r="K6" s="29" t="s">
        <v>63</v>
      </c>
      <c r="L6" s="29" t="s">
        <v>146</v>
      </c>
    </row>
    <row r="7" spans="1:12" ht="25.5" x14ac:dyDescent="0.25">
      <c r="A7" s="17" t="s">
        <v>57</v>
      </c>
      <c r="B7" s="26" t="str">
        <f>IFERROR(INDEX(Equipos!$B$5:$B$65,MATCH(A7,Equipos!$A$5:$A$65,0)),"")</f>
        <v>Ascensor principal</v>
      </c>
      <c r="C7" s="26" t="s">
        <v>147</v>
      </c>
      <c r="D7" s="17" t="s">
        <v>142</v>
      </c>
      <c r="E7" s="17">
        <f>IFERROR(INDEX(Listas!$U$4:$U$11,MATCH(D7,Listas!$T$4:$T$11,0)),"")</f>
        <v>30</v>
      </c>
      <c r="F7" s="27">
        <v>46244</v>
      </c>
      <c r="G7" s="27">
        <f t="shared" si="0"/>
        <v>46274</v>
      </c>
      <c r="H7" s="17">
        <f t="shared" ca="1" si="1"/>
        <v>14</v>
      </c>
      <c r="I7" s="17" t="str">
        <f t="shared" ca="1" si="2"/>
        <v>Próxima</v>
      </c>
      <c r="J7" s="17" t="s">
        <v>78</v>
      </c>
      <c r="K7" s="26" t="s">
        <v>63</v>
      </c>
      <c r="L7" s="26"/>
    </row>
    <row r="8" spans="1:12" x14ac:dyDescent="0.25">
      <c r="A8" s="28" t="s">
        <v>64</v>
      </c>
      <c r="B8" s="29" t="str">
        <f>IFERROR(INDEX(Equipos!$B$5:$B$65,MATCH(A8,Equipos!$A$5:$A$65,0)),"")</f>
        <v>Grupo electrógeno 100 kVA</v>
      </c>
      <c r="C8" s="29" t="s">
        <v>148</v>
      </c>
      <c r="D8" s="28" t="s">
        <v>142</v>
      </c>
      <c r="E8" s="28">
        <f>IFERROR(INDEX(Listas!$U$4:$U$11,MATCH(D8,Listas!$T$4:$T$11,0)),"")</f>
        <v>30</v>
      </c>
      <c r="F8" s="30">
        <v>46231</v>
      </c>
      <c r="G8" s="30">
        <f t="shared" si="0"/>
        <v>46261</v>
      </c>
      <c r="H8" s="28">
        <f t="shared" ca="1" si="1"/>
        <v>1</v>
      </c>
      <c r="I8" s="28" t="str">
        <f t="shared" ca="1" si="2"/>
        <v>Próxima</v>
      </c>
      <c r="J8" s="28" t="s">
        <v>55</v>
      </c>
      <c r="K8" s="29" t="s">
        <v>70</v>
      </c>
      <c r="L8" s="29" t="s">
        <v>149</v>
      </c>
    </row>
    <row r="9" spans="1:12" ht="25.5" x14ac:dyDescent="0.25">
      <c r="A9" s="17" t="s">
        <v>64</v>
      </c>
      <c r="B9" s="26" t="str">
        <f>IFERROR(INDEX(Equipos!$B$5:$B$65,MATCH(A9,Equipos!$A$5:$A$65,0)),"")</f>
        <v>Grupo electrógeno 100 kVA</v>
      </c>
      <c r="C9" s="26" t="s">
        <v>150</v>
      </c>
      <c r="D9" s="17" t="s">
        <v>151</v>
      </c>
      <c r="E9" s="17">
        <f>IFERROR(INDEX(Listas!$U$4:$U$11,MATCH(D9,Listas!$T$4:$T$11,0)),"")</f>
        <v>365</v>
      </c>
      <c r="F9" s="27">
        <v>45965</v>
      </c>
      <c r="G9" s="27">
        <f t="shared" si="0"/>
        <v>46330</v>
      </c>
      <c r="H9" s="17">
        <f t="shared" ca="1" si="1"/>
        <v>70</v>
      </c>
      <c r="I9" s="17" t="str">
        <f t="shared" ca="1" si="2"/>
        <v>Al día</v>
      </c>
      <c r="J9" s="17" t="s">
        <v>55</v>
      </c>
      <c r="K9" s="26" t="s">
        <v>70</v>
      </c>
      <c r="L9" s="26" t="s">
        <v>152</v>
      </c>
    </row>
    <row r="10" spans="1:12" ht="25.5" x14ac:dyDescent="0.25">
      <c r="A10" s="28" t="s">
        <v>71</v>
      </c>
      <c r="B10" s="29" t="str">
        <f>IFERROR(INDEX(Equipos!$B$5:$B$65,MATCH(A10,Equipos!$A$5:$A$65,0)),"")</f>
        <v>Compresor de tornillo 30 CV</v>
      </c>
      <c r="C10" s="29" t="s">
        <v>153</v>
      </c>
      <c r="D10" s="28" t="s">
        <v>154</v>
      </c>
      <c r="E10" s="28">
        <f>IFERROR(INDEX(Listas!$U$4:$U$11,MATCH(D10,Listas!$T$4:$T$11,0)),"")</f>
        <v>90</v>
      </c>
      <c r="F10" s="30">
        <v>46175</v>
      </c>
      <c r="G10" s="30">
        <f t="shared" si="0"/>
        <v>46265</v>
      </c>
      <c r="H10" s="28">
        <f t="shared" ca="1" si="1"/>
        <v>5</v>
      </c>
      <c r="I10" s="28" t="str">
        <f t="shared" ca="1" si="2"/>
        <v>Próxima</v>
      </c>
      <c r="J10" s="28" t="s">
        <v>78</v>
      </c>
      <c r="K10" s="29" t="s">
        <v>79</v>
      </c>
      <c r="L10" s="29" t="s">
        <v>155</v>
      </c>
    </row>
    <row r="11" spans="1:12" x14ac:dyDescent="0.25">
      <c r="A11" s="17" t="s">
        <v>80</v>
      </c>
      <c r="B11" s="26" t="str">
        <f>IFERROR(INDEX(Equipos!$B$5:$B$65,MATCH(A11,Equipos!$A$5:$A$65,0)),"")</f>
        <v>Furgoneta de servicio 01</v>
      </c>
      <c r="C11" s="26" t="s">
        <v>156</v>
      </c>
      <c r="D11" s="17" t="s">
        <v>145</v>
      </c>
      <c r="E11" s="17">
        <f>IFERROR(INDEX(Listas!$U$4:$U$11,MATCH(D11,Listas!$T$4:$T$11,0)),"")</f>
        <v>180</v>
      </c>
      <c r="F11" s="27">
        <v>46073</v>
      </c>
      <c r="G11" s="27">
        <f t="shared" si="0"/>
        <v>46253</v>
      </c>
      <c r="H11" s="17">
        <f t="shared" ca="1" si="1"/>
        <v>-7</v>
      </c>
      <c r="I11" s="17" t="str">
        <f t="shared" ca="1" si="2"/>
        <v>Vencida</v>
      </c>
      <c r="J11" s="17" t="s">
        <v>78</v>
      </c>
      <c r="K11" s="26" t="s">
        <v>86</v>
      </c>
      <c r="L11" s="26" t="s">
        <v>157</v>
      </c>
    </row>
    <row r="12" spans="1:12" x14ac:dyDescent="0.25">
      <c r="A12" s="28" t="s">
        <v>87</v>
      </c>
      <c r="B12" s="29" t="str">
        <f>IFERROR(INDEX(Equipos!$B$5:$B$65,MATCH(A12,Equipos!$A$5:$A$65,0)),"")</f>
        <v>Caldera de gas 120 kW</v>
      </c>
      <c r="C12" s="29" t="s">
        <v>158</v>
      </c>
      <c r="D12" s="28" t="s">
        <v>151</v>
      </c>
      <c r="E12" s="28">
        <f>IFERROR(INDEX(Listas!$U$4:$U$11,MATCH(D12,Listas!$T$4:$T$11,0)),"")</f>
        <v>365</v>
      </c>
      <c r="F12" s="30">
        <v>45939</v>
      </c>
      <c r="G12" s="30">
        <f t="shared" si="0"/>
        <v>46304</v>
      </c>
      <c r="H12" s="28">
        <f t="shared" ca="1" si="1"/>
        <v>44</v>
      </c>
      <c r="I12" s="28" t="str">
        <f t="shared" ca="1" si="2"/>
        <v>Al día</v>
      </c>
      <c r="J12" s="28" t="s">
        <v>55</v>
      </c>
      <c r="K12" s="29" t="s">
        <v>56</v>
      </c>
      <c r="L12" s="29" t="s">
        <v>159</v>
      </c>
    </row>
    <row r="13" spans="1:12" x14ac:dyDescent="0.25">
      <c r="A13" s="17" t="s">
        <v>87</v>
      </c>
      <c r="B13" s="26" t="str">
        <f>IFERROR(INDEX(Equipos!$B$5:$B$65,MATCH(A13,Equipos!$A$5:$A$65,0)),"")</f>
        <v>Caldera de gas 120 kW</v>
      </c>
      <c r="C13" s="26" t="s">
        <v>160</v>
      </c>
      <c r="D13" s="17" t="s">
        <v>142</v>
      </c>
      <c r="E13" s="17">
        <f>IFERROR(INDEX(Listas!$U$4:$U$11,MATCH(D13,Listas!$T$4:$T$11,0)),"")</f>
        <v>30</v>
      </c>
      <c r="F13" s="27">
        <v>46235</v>
      </c>
      <c r="G13" s="27">
        <f t="shared" si="0"/>
        <v>46265</v>
      </c>
      <c r="H13" s="17">
        <f t="shared" ca="1" si="1"/>
        <v>5</v>
      </c>
      <c r="I13" s="17" t="str">
        <f t="shared" ca="1" si="2"/>
        <v>Próxima</v>
      </c>
      <c r="J13" s="17" t="s">
        <v>78</v>
      </c>
      <c r="K13" s="26" t="s">
        <v>56</v>
      </c>
      <c r="L13" s="26"/>
    </row>
    <row r="14" spans="1:12" ht="25.5" x14ac:dyDescent="0.25">
      <c r="A14" s="28" t="s">
        <v>93</v>
      </c>
      <c r="B14" s="29" t="str">
        <f>IFERROR(INDEX(Equipos!$B$5:$B$65,MATCH(A14,Equipos!$A$5:$A$65,0)),"")</f>
        <v>Bomba de agua contra incendios</v>
      </c>
      <c r="C14" s="29" t="s">
        <v>161</v>
      </c>
      <c r="D14" s="28" t="s">
        <v>154</v>
      </c>
      <c r="E14" s="28">
        <f>IFERROR(INDEX(Listas!$U$4:$U$11,MATCH(D14,Listas!$T$4:$T$11,0)),"")</f>
        <v>90</v>
      </c>
      <c r="F14" s="30">
        <v>46160</v>
      </c>
      <c r="G14" s="30">
        <f t="shared" si="0"/>
        <v>46250</v>
      </c>
      <c r="H14" s="28">
        <f t="shared" ca="1" si="1"/>
        <v>-10</v>
      </c>
      <c r="I14" s="28" t="str">
        <f t="shared" ca="1" si="2"/>
        <v>Vencida</v>
      </c>
      <c r="J14" s="28" t="s">
        <v>55</v>
      </c>
      <c r="K14" s="29" t="s">
        <v>70</v>
      </c>
      <c r="L14" s="29" t="s">
        <v>162</v>
      </c>
    </row>
    <row r="15" spans="1:12" x14ac:dyDescent="0.25">
      <c r="A15" s="17" t="s">
        <v>99</v>
      </c>
      <c r="B15" s="26" t="str">
        <f>IFERROR(INDEX(Equipos!$B$5:$B$65,MATCH(A15,Equipos!$A$5:$A$65,0)),"")</f>
        <v>Puerta seccional muelle 2</v>
      </c>
      <c r="C15" s="26" t="s">
        <v>163</v>
      </c>
      <c r="D15" s="17" t="s">
        <v>154</v>
      </c>
      <c r="E15" s="17">
        <f>IFERROR(INDEX(Listas!$U$4:$U$11,MATCH(D15,Listas!$T$4:$T$11,0)),"")</f>
        <v>90</v>
      </c>
      <c r="F15" s="27">
        <v>46210</v>
      </c>
      <c r="G15" s="27">
        <f t="shared" si="0"/>
        <v>46300</v>
      </c>
      <c r="H15" s="17">
        <f t="shared" ca="1" si="1"/>
        <v>40</v>
      </c>
      <c r="I15" s="17" t="str">
        <f t="shared" ca="1" si="2"/>
        <v>Al día</v>
      </c>
      <c r="J15" s="17" t="s">
        <v>105</v>
      </c>
      <c r="K15" s="26" t="s">
        <v>79</v>
      </c>
      <c r="L15" s="26"/>
    </row>
    <row r="16" spans="1:12" ht="25.5" x14ac:dyDescent="0.25">
      <c r="A16" s="28" t="s">
        <v>106</v>
      </c>
      <c r="B16" s="29" t="str">
        <f>IFERROR(INDEX(Equipos!$B$5:$B$65,MATCH(A16,Equipos!$A$5:$A$65,0)),"")</f>
        <v>Servidor de racks CPD</v>
      </c>
      <c r="C16" s="29" t="s">
        <v>164</v>
      </c>
      <c r="D16" s="28" t="s">
        <v>165</v>
      </c>
      <c r="E16" s="28">
        <f>IFERROR(INDEX(Listas!$U$4:$U$11,MATCH(D16,Listas!$T$4:$T$11,0)),"")</f>
        <v>7</v>
      </c>
      <c r="F16" s="30">
        <v>46252</v>
      </c>
      <c r="G16" s="30">
        <f t="shared" si="0"/>
        <v>46259</v>
      </c>
      <c r="H16" s="28">
        <f t="shared" ca="1" si="1"/>
        <v>-1</v>
      </c>
      <c r="I16" s="28" t="str">
        <f t="shared" ca="1" si="2"/>
        <v>Vencida</v>
      </c>
      <c r="J16" s="28" t="s">
        <v>55</v>
      </c>
      <c r="K16" s="29" t="s">
        <v>63</v>
      </c>
      <c r="L16" s="29" t="s">
        <v>166</v>
      </c>
    </row>
    <row r="17" spans="1:12" x14ac:dyDescent="0.25">
      <c r="A17" s="17" t="s">
        <v>112</v>
      </c>
      <c r="B17" s="26" t="str">
        <f>IFERROR(INDEX(Equipos!$B$5:$B$65,MATCH(A17,Equipos!$A$5:$A$65,0)),"")</f>
        <v>Carretilla elevadora eléctrica</v>
      </c>
      <c r="C17" s="26" t="s">
        <v>167</v>
      </c>
      <c r="D17" s="17" t="s">
        <v>142</v>
      </c>
      <c r="E17" s="17">
        <f>IFERROR(INDEX(Listas!$U$4:$U$11,MATCH(D17,Listas!$T$4:$T$11,0)),"")</f>
        <v>30</v>
      </c>
      <c r="F17" s="27">
        <v>46239</v>
      </c>
      <c r="G17" s="27">
        <f t="shared" si="0"/>
        <v>46269</v>
      </c>
      <c r="H17" s="17">
        <f t="shared" ca="1" si="1"/>
        <v>9</v>
      </c>
      <c r="I17" s="17" t="str">
        <f t="shared" ca="1" si="2"/>
        <v>Próxima</v>
      </c>
      <c r="J17" s="17" t="s">
        <v>78</v>
      </c>
      <c r="K17" s="26" t="s">
        <v>79</v>
      </c>
      <c r="L17" s="26" t="s">
        <v>168</v>
      </c>
    </row>
    <row r="18" spans="1:12" x14ac:dyDescent="0.25">
      <c r="A18" s="28" t="s">
        <v>118</v>
      </c>
      <c r="B18" s="29" t="str">
        <f>IFERROR(INDEX(Equipos!$B$5:$B$65,MATCH(A18,Equipos!$A$5:$A$65,0)),"")</f>
        <v>Depuradora de aguas grises</v>
      </c>
      <c r="C18" s="29" t="s">
        <v>169</v>
      </c>
      <c r="D18" s="28" t="s">
        <v>170</v>
      </c>
      <c r="E18" s="28">
        <f>IFERROR(INDEX(Listas!$U$4:$U$11,MATCH(D18,Listas!$T$4:$T$11,0)),"")</f>
        <v>60</v>
      </c>
      <c r="F18" s="30">
        <v>46187</v>
      </c>
      <c r="G18" s="30">
        <f t="shared" si="0"/>
        <v>46247</v>
      </c>
      <c r="H18" s="28">
        <f t="shared" ca="1" si="1"/>
        <v>-13</v>
      </c>
      <c r="I18" s="28" t="str">
        <f t="shared" ca="1" si="2"/>
        <v>Vencida</v>
      </c>
      <c r="J18" s="28" t="s">
        <v>78</v>
      </c>
      <c r="K18" s="29" t="s">
        <v>86</v>
      </c>
      <c r="L18" s="29" t="s">
        <v>171</v>
      </c>
    </row>
    <row r="19" spans="1:12" x14ac:dyDescent="0.25">
      <c r="A19" s="17" t="s">
        <v>125</v>
      </c>
      <c r="B19" s="26" t="str">
        <f>IFERROR(INDEX(Equipos!$B$5:$B$65,MATCH(A19,Equipos!$A$5:$A$65,0)),"")</f>
        <v>Furgoneta de servicio 02</v>
      </c>
      <c r="C19" s="26" t="s">
        <v>172</v>
      </c>
      <c r="D19" s="17" t="s">
        <v>145</v>
      </c>
      <c r="E19" s="17">
        <f>IFERROR(INDEX(Listas!$U$4:$U$11,MATCH(D19,Listas!$T$4:$T$11,0)),"")</f>
        <v>180</v>
      </c>
      <c r="F19" s="27">
        <v>46198</v>
      </c>
      <c r="G19" s="27">
        <f t="shared" si="0"/>
        <v>46378</v>
      </c>
      <c r="H19" s="17">
        <f t="shared" ca="1" si="1"/>
        <v>118</v>
      </c>
      <c r="I19" s="17" t="str">
        <f t="shared" ca="1" si="2"/>
        <v>Al día</v>
      </c>
      <c r="J19" s="17" t="s">
        <v>105</v>
      </c>
      <c r="K19" s="26" t="s">
        <v>86</v>
      </c>
      <c r="L19" s="26"/>
    </row>
    <row r="20" spans="1:12" x14ac:dyDescent="0.25">
      <c r="A20" s="28" t="s">
        <v>48</v>
      </c>
      <c r="B20" s="29" t="str">
        <f>IFERROR(INDEX(Equipos!$B$5:$B$65,MATCH(A20,Equipos!$A$5:$A$65,0)),"")</f>
        <v>Climatizadora cubierta ala norte</v>
      </c>
      <c r="C20" s="29" t="s">
        <v>173</v>
      </c>
      <c r="D20" s="28" t="s">
        <v>145</v>
      </c>
      <c r="E20" s="28">
        <f>IFERROR(INDEX(Listas!$U$4:$U$11,MATCH(D20,Listas!$T$4:$T$11,0)),"")</f>
        <v>180</v>
      </c>
      <c r="F20" s="30">
        <v>46113</v>
      </c>
      <c r="G20" s="30">
        <f t="shared" si="0"/>
        <v>46293</v>
      </c>
      <c r="H20" s="28">
        <f t="shared" ca="1" si="1"/>
        <v>33</v>
      </c>
      <c r="I20" s="28" t="str">
        <f t="shared" ca="1" si="2"/>
        <v>Al día</v>
      </c>
      <c r="J20" s="28" t="s">
        <v>78</v>
      </c>
      <c r="K20" s="29" t="s">
        <v>56</v>
      </c>
      <c r="L20" s="29"/>
    </row>
  </sheetData>
  <mergeCells count="2">
    <mergeCell ref="A1:L1"/>
    <mergeCell ref="A2:L2"/>
  </mergeCells>
  <conditionalFormatting sqref="I5:I20">
    <cfRule type="cellIs" dxfId="10" priority="2" operator="equal">
      <formula>"Vencida"</formula>
    </cfRule>
    <cfRule type="cellIs" dxfId="9" priority="3" operator="equal">
      <formula>"Próxima"</formula>
    </cfRule>
    <cfRule type="cellIs" dxfId="8" priority="4" operator="equal">
      <formula>"Al día"</formula>
    </cfRule>
  </conditionalFormatting>
  <conditionalFormatting sqref="J5:J20">
    <cfRule type="cellIs" dxfId="7" priority="5" operator="equal">
      <formula>"Alta"</formula>
    </cfRule>
    <cfRule type="cellIs" dxfId="6" priority="6" operator="equal">
      <formula>"Media"</formula>
    </cfRule>
    <cfRule type="cellIs" dxfId="5" priority="7" operator="equal">
      <formula>"Baja"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Valor no válido" error="Selecciona un valor de la lista." xr:uid="{00000000-0002-0000-0200-000000000000}">
          <x14:formula1>
            <xm:f>Equipos!$A$5:$A$65</xm:f>
          </x14:formula1>
          <x14:formula2>
            <xm:f>0</xm:f>
          </x14:formula2>
          <xm:sqref>A5:A85</xm:sqref>
        </x14:dataValidation>
        <x14:dataValidation type="list" allowBlank="1" errorTitle="Valor no válido" error="Selecciona un valor de la lista." xr:uid="{00000000-0002-0000-0200-000001000000}">
          <x14:formula1>
            <xm:f>Listas!$G$4:$G$11</xm:f>
          </x14:formula1>
          <x14:formula2>
            <xm:f>0</xm:f>
          </x14:formula2>
          <xm:sqref>D5:D85</xm:sqref>
        </x14:dataValidation>
        <x14:dataValidation type="list" allowBlank="1" errorTitle="Valor no válido" error="Selecciona un valor de la lista." xr:uid="{00000000-0002-0000-0200-000002000000}">
          <x14:formula1>
            <xm:f>Listas!$I$4:$I$6</xm:f>
          </x14:formula1>
          <x14:formula2>
            <xm:f>0</xm:f>
          </x14:formula2>
          <xm:sqref>J5:J85</xm:sqref>
        </x14:dataValidation>
        <x14:dataValidation type="list" allowBlank="1" errorTitle="Valor no válido" error="Selecciona un valor de la lista." xr:uid="{00000000-0002-0000-0200-000003000000}">
          <x14:formula1>
            <xm:f>Listas!$Q$4:$Q$8</xm:f>
          </x14:formula1>
          <x14:formula2>
            <xm:f>0</xm:f>
          </x14:formula2>
          <xm:sqref>K5:K85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2636A"/>
    <pageSetUpPr fitToPage="1"/>
  </sheetPr>
  <dimension ref="A1:M28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5" customWidth="1"/>
    <col min="2" max="2" width="12" customWidth="1"/>
    <col min="3" max="3" width="11" customWidth="1"/>
    <col min="4" max="4" width="26" customWidth="1"/>
    <col min="5" max="5" width="12" customWidth="1"/>
    <col min="6" max="6" width="34" customWidth="1"/>
    <col min="7" max="7" width="14" customWidth="1"/>
    <col min="8" max="8" width="24" customWidth="1"/>
    <col min="9" max="9" width="10" customWidth="1"/>
    <col min="10" max="10" width="12" customWidth="1"/>
    <col min="11" max="11" width="14" customWidth="1"/>
    <col min="12" max="13" width="12" customWidth="1"/>
  </cols>
  <sheetData>
    <row r="1" spans="1:13" ht="30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9.5" customHeight="1" x14ac:dyDescent="0.25">
      <c r="A2" s="13" t="s">
        <v>174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4" spans="1:13" ht="30" customHeight="1" x14ac:dyDescent="0.25">
      <c r="A4" s="25" t="s">
        <v>175</v>
      </c>
      <c r="B4" s="25" t="s">
        <v>176</v>
      </c>
      <c r="C4" s="25" t="s">
        <v>177</v>
      </c>
      <c r="D4" s="25" t="s">
        <v>132</v>
      </c>
      <c r="E4" s="25" t="s">
        <v>13</v>
      </c>
      <c r="F4" s="25" t="s">
        <v>178</v>
      </c>
      <c r="G4" s="25" t="s">
        <v>179</v>
      </c>
      <c r="H4" s="25" t="s">
        <v>180</v>
      </c>
      <c r="I4" s="25" t="s">
        <v>181</v>
      </c>
      <c r="J4" s="25" t="s">
        <v>182</v>
      </c>
      <c r="K4" s="25" t="s">
        <v>183</v>
      </c>
      <c r="L4" s="25" t="s">
        <v>184</v>
      </c>
      <c r="M4" s="25" t="s">
        <v>16</v>
      </c>
    </row>
    <row r="5" spans="1:13" x14ac:dyDescent="0.25">
      <c r="A5" s="17">
        <v>1</v>
      </c>
      <c r="B5" s="27">
        <v>46034</v>
      </c>
      <c r="C5" s="17" t="s">
        <v>87</v>
      </c>
      <c r="D5" s="26" t="str">
        <f>IFERROR(INDEX(Equipos!$B$5:$B$65,MATCH(C5,Equipos!$A$5:$A$65,0)),"")</f>
        <v>Caldera de gas 120 kW</v>
      </c>
      <c r="E5" s="17" t="s">
        <v>19</v>
      </c>
      <c r="F5" s="26" t="s">
        <v>185</v>
      </c>
      <c r="G5" s="26" t="s">
        <v>56</v>
      </c>
      <c r="H5" s="26" t="s">
        <v>186</v>
      </c>
      <c r="I5" s="31">
        <v>2</v>
      </c>
      <c r="J5" s="21">
        <v>45</v>
      </c>
      <c r="K5" s="21">
        <v>120</v>
      </c>
      <c r="L5" s="21">
        <f t="shared" ref="L5:L27" si="0">J5+K5</f>
        <v>165</v>
      </c>
      <c r="M5" s="17" t="s">
        <v>187</v>
      </c>
    </row>
    <row r="6" spans="1:13" ht="25.5" x14ac:dyDescent="0.25">
      <c r="A6" s="28">
        <v>2</v>
      </c>
      <c r="B6" s="30">
        <v>46042</v>
      </c>
      <c r="C6" s="28" t="s">
        <v>106</v>
      </c>
      <c r="D6" s="29" t="str">
        <f>IFERROR(INDEX(Equipos!$B$5:$B$65,MATCH(C6,Equipos!$A$5:$A$65,0)),"")</f>
        <v>Servidor de racks CPD</v>
      </c>
      <c r="E6" s="28" t="s">
        <v>19</v>
      </c>
      <c r="F6" s="29" t="s">
        <v>188</v>
      </c>
      <c r="G6" s="29" t="s">
        <v>63</v>
      </c>
      <c r="H6" s="29" t="s">
        <v>189</v>
      </c>
      <c r="I6" s="32">
        <v>0.5</v>
      </c>
      <c r="J6" s="33">
        <v>15</v>
      </c>
      <c r="K6" s="33">
        <v>40</v>
      </c>
      <c r="L6" s="33">
        <f t="shared" si="0"/>
        <v>55</v>
      </c>
      <c r="M6" s="28" t="s">
        <v>187</v>
      </c>
    </row>
    <row r="7" spans="1:13" x14ac:dyDescent="0.25">
      <c r="A7" s="17">
        <v>3</v>
      </c>
      <c r="B7" s="27">
        <v>46056</v>
      </c>
      <c r="C7" s="17" t="s">
        <v>71</v>
      </c>
      <c r="D7" s="26" t="str">
        <f>IFERROR(INDEX(Equipos!$B$5:$B$65,MATCH(C7,Equipos!$A$5:$A$65,0)),"")</f>
        <v>Compresor de tornillo 30 CV</v>
      </c>
      <c r="E7" s="17" t="s">
        <v>22</v>
      </c>
      <c r="F7" s="26" t="s">
        <v>190</v>
      </c>
      <c r="G7" s="26" t="s">
        <v>79</v>
      </c>
      <c r="H7" s="26" t="s">
        <v>191</v>
      </c>
      <c r="I7" s="31">
        <v>4</v>
      </c>
      <c r="J7" s="21">
        <v>60</v>
      </c>
      <c r="K7" s="21">
        <v>160</v>
      </c>
      <c r="L7" s="21">
        <f t="shared" si="0"/>
        <v>220</v>
      </c>
      <c r="M7" s="17" t="s">
        <v>187</v>
      </c>
    </row>
    <row r="8" spans="1:13" x14ac:dyDescent="0.25">
      <c r="A8" s="28">
        <v>4</v>
      </c>
      <c r="B8" s="30">
        <v>46073</v>
      </c>
      <c r="C8" s="28" t="s">
        <v>80</v>
      </c>
      <c r="D8" s="29" t="str">
        <f>IFERROR(INDEX(Equipos!$B$5:$B$65,MATCH(C8,Equipos!$A$5:$A$65,0)),"")</f>
        <v>Furgoneta de servicio 01</v>
      </c>
      <c r="E8" s="28" t="s">
        <v>19</v>
      </c>
      <c r="F8" s="29" t="s">
        <v>156</v>
      </c>
      <c r="G8" s="29" t="s">
        <v>86</v>
      </c>
      <c r="H8" s="29" t="s">
        <v>192</v>
      </c>
      <c r="I8" s="32">
        <v>0</v>
      </c>
      <c r="J8" s="33">
        <v>110</v>
      </c>
      <c r="K8" s="33">
        <v>90</v>
      </c>
      <c r="L8" s="33">
        <f t="shared" si="0"/>
        <v>200</v>
      </c>
      <c r="M8" s="28" t="s">
        <v>187</v>
      </c>
    </row>
    <row r="9" spans="1:13" x14ac:dyDescent="0.25">
      <c r="A9" s="17">
        <v>5</v>
      </c>
      <c r="B9" s="27">
        <v>46086</v>
      </c>
      <c r="C9" s="17" t="s">
        <v>57</v>
      </c>
      <c r="D9" s="26" t="str">
        <f>IFERROR(INDEX(Equipos!$B$5:$B$65,MATCH(C9,Equipos!$A$5:$A$65,0)),"")</f>
        <v>Ascensor principal</v>
      </c>
      <c r="E9" s="17" t="s">
        <v>22</v>
      </c>
      <c r="F9" s="26" t="s">
        <v>193</v>
      </c>
      <c r="G9" s="26" t="s">
        <v>63</v>
      </c>
      <c r="H9" s="26" t="s">
        <v>194</v>
      </c>
      <c r="I9" s="31">
        <v>3</v>
      </c>
      <c r="J9" s="21">
        <v>85</v>
      </c>
      <c r="K9" s="21">
        <v>150</v>
      </c>
      <c r="L9" s="21">
        <f t="shared" si="0"/>
        <v>235</v>
      </c>
      <c r="M9" s="17" t="s">
        <v>187</v>
      </c>
    </row>
    <row r="10" spans="1:13" x14ac:dyDescent="0.25">
      <c r="A10" s="28">
        <v>6</v>
      </c>
      <c r="B10" s="30">
        <v>46096</v>
      </c>
      <c r="C10" s="28" t="s">
        <v>57</v>
      </c>
      <c r="D10" s="29" t="str">
        <f>IFERROR(INDEX(Equipos!$B$5:$B$65,MATCH(C10,Equipos!$A$5:$A$65,0)),"")</f>
        <v>Ascensor principal</v>
      </c>
      <c r="E10" s="28" t="s">
        <v>19</v>
      </c>
      <c r="F10" s="29" t="s">
        <v>195</v>
      </c>
      <c r="G10" s="29" t="s">
        <v>63</v>
      </c>
      <c r="H10" s="29" t="s">
        <v>196</v>
      </c>
      <c r="I10" s="32">
        <v>1.5</v>
      </c>
      <c r="J10" s="33">
        <v>0</v>
      </c>
      <c r="K10" s="33">
        <v>180</v>
      </c>
      <c r="L10" s="33">
        <f t="shared" si="0"/>
        <v>180</v>
      </c>
      <c r="M10" s="28" t="s">
        <v>187</v>
      </c>
    </row>
    <row r="11" spans="1:13" ht="25.5" x14ac:dyDescent="0.25">
      <c r="A11" s="17">
        <v>7</v>
      </c>
      <c r="B11" s="27">
        <v>46113</v>
      </c>
      <c r="C11" s="17" t="s">
        <v>48</v>
      </c>
      <c r="D11" s="26" t="str">
        <f>IFERROR(INDEX(Equipos!$B$5:$B$65,MATCH(C11,Equipos!$A$5:$A$65,0)),"")</f>
        <v>Climatizadora cubierta ala norte</v>
      </c>
      <c r="E11" s="17" t="s">
        <v>19</v>
      </c>
      <c r="F11" s="26" t="s">
        <v>173</v>
      </c>
      <c r="G11" s="26" t="s">
        <v>56</v>
      </c>
      <c r="H11" s="26" t="s">
        <v>196</v>
      </c>
      <c r="I11" s="31">
        <v>2.5</v>
      </c>
      <c r="J11" s="21">
        <v>0</v>
      </c>
      <c r="K11" s="21">
        <v>100</v>
      </c>
      <c r="L11" s="21">
        <f t="shared" si="0"/>
        <v>100</v>
      </c>
      <c r="M11" s="17" t="s">
        <v>187</v>
      </c>
    </row>
    <row r="12" spans="1:13" x14ac:dyDescent="0.25">
      <c r="A12" s="28">
        <v>8</v>
      </c>
      <c r="B12" s="30">
        <v>46130</v>
      </c>
      <c r="C12" s="28" t="s">
        <v>64</v>
      </c>
      <c r="D12" s="29" t="str">
        <f>IFERROR(INDEX(Equipos!$B$5:$B$65,MATCH(C12,Equipos!$A$5:$A$65,0)),"")</f>
        <v>Grupo electrógeno 100 kVA</v>
      </c>
      <c r="E12" s="28" t="s">
        <v>22</v>
      </c>
      <c r="F12" s="29" t="s">
        <v>197</v>
      </c>
      <c r="G12" s="29" t="s">
        <v>70</v>
      </c>
      <c r="H12" s="29" t="s">
        <v>198</v>
      </c>
      <c r="I12" s="32">
        <v>6</v>
      </c>
      <c r="J12" s="33">
        <v>180</v>
      </c>
      <c r="K12" s="33">
        <v>240</v>
      </c>
      <c r="L12" s="33">
        <f t="shared" si="0"/>
        <v>420</v>
      </c>
      <c r="M12" s="28" t="s">
        <v>187</v>
      </c>
    </row>
    <row r="13" spans="1:13" x14ac:dyDescent="0.25">
      <c r="A13" s="17">
        <v>9</v>
      </c>
      <c r="B13" s="27">
        <v>46148</v>
      </c>
      <c r="C13" s="17" t="s">
        <v>112</v>
      </c>
      <c r="D13" s="26" t="str">
        <f>IFERROR(INDEX(Equipos!$B$5:$B$65,MATCH(C13,Equipos!$A$5:$A$65,0)),"")</f>
        <v>Carretilla elevadora eléctrica</v>
      </c>
      <c r="E13" s="17" t="s">
        <v>22</v>
      </c>
      <c r="F13" s="26" t="s">
        <v>199</v>
      </c>
      <c r="G13" s="26" t="s">
        <v>79</v>
      </c>
      <c r="H13" s="26" t="s">
        <v>200</v>
      </c>
      <c r="I13" s="31">
        <v>5</v>
      </c>
      <c r="J13" s="21">
        <v>320</v>
      </c>
      <c r="K13" s="21">
        <v>150</v>
      </c>
      <c r="L13" s="21">
        <f t="shared" si="0"/>
        <v>470</v>
      </c>
      <c r="M13" s="17" t="s">
        <v>187</v>
      </c>
    </row>
    <row r="14" spans="1:13" ht="25.5" x14ac:dyDescent="0.25">
      <c r="A14" s="28">
        <v>10</v>
      </c>
      <c r="B14" s="30">
        <v>46160</v>
      </c>
      <c r="C14" s="28" t="s">
        <v>93</v>
      </c>
      <c r="D14" s="29" t="str">
        <f>IFERROR(INDEX(Equipos!$B$5:$B$65,MATCH(C14,Equipos!$A$5:$A$65,0)),"")</f>
        <v>Bomba de agua contra incendios</v>
      </c>
      <c r="E14" s="28" t="s">
        <v>19</v>
      </c>
      <c r="F14" s="29" t="s">
        <v>161</v>
      </c>
      <c r="G14" s="29" t="s">
        <v>70</v>
      </c>
      <c r="H14" s="29" t="s">
        <v>196</v>
      </c>
      <c r="I14" s="32">
        <v>1</v>
      </c>
      <c r="J14" s="33">
        <v>0</v>
      </c>
      <c r="K14" s="33">
        <v>80</v>
      </c>
      <c r="L14" s="33">
        <f t="shared" si="0"/>
        <v>80</v>
      </c>
      <c r="M14" s="28" t="s">
        <v>187</v>
      </c>
    </row>
    <row r="15" spans="1:13" x14ac:dyDescent="0.25">
      <c r="A15" s="17">
        <v>11</v>
      </c>
      <c r="B15" s="27">
        <v>46175</v>
      </c>
      <c r="C15" s="17" t="s">
        <v>71</v>
      </c>
      <c r="D15" s="26" t="str">
        <f>IFERROR(INDEX(Equipos!$B$5:$B$65,MATCH(C15,Equipos!$A$5:$A$65,0)),"")</f>
        <v>Compresor de tornillo 30 CV</v>
      </c>
      <c r="E15" s="17" t="s">
        <v>19</v>
      </c>
      <c r="F15" s="26" t="s">
        <v>201</v>
      </c>
      <c r="G15" s="26" t="s">
        <v>79</v>
      </c>
      <c r="H15" s="26" t="s">
        <v>202</v>
      </c>
      <c r="I15" s="31">
        <v>2</v>
      </c>
      <c r="J15" s="21">
        <v>35</v>
      </c>
      <c r="K15" s="21">
        <v>80</v>
      </c>
      <c r="L15" s="21">
        <f t="shared" si="0"/>
        <v>115</v>
      </c>
      <c r="M15" s="17" t="s">
        <v>187</v>
      </c>
    </row>
    <row r="16" spans="1:13" x14ac:dyDescent="0.25">
      <c r="A16" s="28">
        <v>12</v>
      </c>
      <c r="B16" s="30">
        <v>46187</v>
      </c>
      <c r="C16" s="28" t="s">
        <v>118</v>
      </c>
      <c r="D16" s="29" t="str">
        <f>IFERROR(INDEX(Equipos!$B$5:$B$65,MATCH(C16,Equipos!$A$5:$A$65,0)),"")</f>
        <v>Depuradora de aguas grises</v>
      </c>
      <c r="E16" s="28" t="s">
        <v>19</v>
      </c>
      <c r="F16" s="29" t="s">
        <v>169</v>
      </c>
      <c r="G16" s="29" t="s">
        <v>86</v>
      </c>
      <c r="H16" s="29" t="s">
        <v>203</v>
      </c>
      <c r="I16" s="32">
        <v>3</v>
      </c>
      <c r="J16" s="33">
        <v>140</v>
      </c>
      <c r="K16" s="33">
        <v>120</v>
      </c>
      <c r="L16" s="33">
        <f t="shared" si="0"/>
        <v>260</v>
      </c>
      <c r="M16" s="28" t="s">
        <v>187</v>
      </c>
    </row>
    <row r="17" spans="1:13" x14ac:dyDescent="0.25">
      <c r="A17" s="17">
        <v>13</v>
      </c>
      <c r="B17" s="27">
        <v>46198</v>
      </c>
      <c r="C17" s="17" t="s">
        <v>125</v>
      </c>
      <c r="D17" s="26" t="str">
        <f>IFERROR(INDEX(Equipos!$B$5:$B$65,MATCH(C17,Equipos!$A$5:$A$65,0)),"")</f>
        <v>Furgoneta de servicio 02</v>
      </c>
      <c r="E17" s="17" t="s">
        <v>19</v>
      </c>
      <c r="F17" s="26" t="s">
        <v>172</v>
      </c>
      <c r="G17" s="26" t="s">
        <v>86</v>
      </c>
      <c r="H17" s="26" t="s">
        <v>204</v>
      </c>
      <c r="I17" s="31">
        <v>0</v>
      </c>
      <c r="J17" s="21">
        <v>160</v>
      </c>
      <c r="K17" s="21">
        <v>140</v>
      </c>
      <c r="L17" s="21">
        <f t="shared" si="0"/>
        <v>300</v>
      </c>
      <c r="M17" s="17" t="s">
        <v>187</v>
      </c>
    </row>
    <row r="18" spans="1:13" ht="25.5" x14ac:dyDescent="0.25">
      <c r="A18" s="28">
        <v>14</v>
      </c>
      <c r="B18" s="30">
        <v>46206</v>
      </c>
      <c r="C18" s="28" t="s">
        <v>48</v>
      </c>
      <c r="D18" s="29" t="str">
        <f>IFERROR(INDEX(Equipos!$B$5:$B$65,MATCH(C18,Equipos!$A$5:$A$65,0)),"")</f>
        <v>Climatizadora cubierta ala norte</v>
      </c>
      <c r="E18" s="28" t="s">
        <v>19</v>
      </c>
      <c r="F18" s="29" t="s">
        <v>141</v>
      </c>
      <c r="G18" s="29" t="s">
        <v>56</v>
      </c>
      <c r="H18" s="29" t="s">
        <v>205</v>
      </c>
      <c r="I18" s="32">
        <v>1.5</v>
      </c>
      <c r="J18" s="33">
        <v>25</v>
      </c>
      <c r="K18" s="33">
        <v>60</v>
      </c>
      <c r="L18" s="33">
        <f t="shared" si="0"/>
        <v>85</v>
      </c>
      <c r="M18" s="28" t="s">
        <v>187</v>
      </c>
    </row>
    <row r="19" spans="1:13" x14ac:dyDescent="0.25">
      <c r="A19" s="17">
        <v>15</v>
      </c>
      <c r="B19" s="27">
        <v>46210</v>
      </c>
      <c r="C19" s="17" t="s">
        <v>99</v>
      </c>
      <c r="D19" s="26" t="str">
        <f>IFERROR(INDEX(Equipos!$B$5:$B$65,MATCH(C19,Equipos!$A$5:$A$65,0)),"")</f>
        <v>Puerta seccional muelle 2</v>
      </c>
      <c r="E19" s="17" t="s">
        <v>19</v>
      </c>
      <c r="F19" s="26" t="s">
        <v>163</v>
      </c>
      <c r="G19" s="26" t="s">
        <v>79</v>
      </c>
      <c r="H19" s="26" t="s">
        <v>206</v>
      </c>
      <c r="I19" s="31">
        <v>1</v>
      </c>
      <c r="J19" s="21">
        <v>20</v>
      </c>
      <c r="K19" s="21">
        <v>40</v>
      </c>
      <c r="L19" s="21">
        <f t="shared" si="0"/>
        <v>60</v>
      </c>
      <c r="M19" s="17" t="s">
        <v>187</v>
      </c>
    </row>
    <row r="20" spans="1:13" x14ac:dyDescent="0.25">
      <c r="A20" s="28">
        <v>16</v>
      </c>
      <c r="B20" s="30">
        <v>46225</v>
      </c>
      <c r="C20" s="28" t="s">
        <v>118</v>
      </c>
      <c r="D20" s="29" t="str">
        <f>IFERROR(INDEX(Equipos!$B$5:$B$65,MATCH(C20,Equipos!$A$5:$A$65,0)),"")</f>
        <v>Depuradora de aguas grises</v>
      </c>
      <c r="E20" s="28" t="s">
        <v>22</v>
      </c>
      <c r="F20" s="29" t="s">
        <v>207</v>
      </c>
      <c r="G20" s="29" t="s">
        <v>86</v>
      </c>
      <c r="H20" s="29" t="s">
        <v>208</v>
      </c>
      <c r="I20" s="32">
        <v>8</v>
      </c>
      <c r="J20" s="33">
        <v>260</v>
      </c>
      <c r="K20" s="33">
        <v>220</v>
      </c>
      <c r="L20" s="33">
        <f t="shared" si="0"/>
        <v>480</v>
      </c>
      <c r="M20" s="28" t="s">
        <v>209</v>
      </c>
    </row>
    <row r="21" spans="1:13" x14ac:dyDescent="0.25">
      <c r="A21" s="17">
        <v>17</v>
      </c>
      <c r="B21" s="27">
        <v>46231</v>
      </c>
      <c r="C21" s="17" t="s">
        <v>64</v>
      </c>
      <c r="D21" s="26" t="str">
        <f>IFERROR(INDEX(Equipos!$B$5:$B$65,MATCH(C21,Equipos!$A$5:$A$65,0)),"")</f>
        <v>Grupo electrógeno 100 kVA</v>
      </c>
      <c r="E21" s="17" t="s">
        <v>19</v>
      </c>
      <c r="F21" s="26" t="s">
        <v>148</v>
      </c>
      <c r="G21" s="26" t="s">
        <v>70</v>
      </c>
      <c r="H21" s="26" t="s">
        <v>196</v>
      </c>
      <c r="I21" s="31">
        <v>0.5</v>
      </c>
      <c r="J21" s="21">
        <v>0</v>
      </c>
      <c r="K21" s="21">
        <v>50</v>
      </c>
      <c r="L21" s="21">
        <f t="shared" si="0"/>
        <v>50</v>
      </c>
      <c r="M21" s="17" t="s">
        <v>187</v>
      </c>
    </row>
    <row r="22" spans="1:13" x14ac:dyDescent="0.25">
      <c r="A22" s="28">
        <v>18</v>
      </c>
      <c r="B22" s="30">
        <v>46235</v>
      </c>
      <c r="C22" s="28" t="s">
        <v>87</v>
      </c>
      <c r="D22" s="29" t="str">
        <f>IFERROR(INDEX(Equipos!$B$5:$B$65,MATCH(C22,Equipos!$A$5:$A$65,0)),"")</f>
        <v>Caldera de gas 120 kW</v>
      </c>
      <c r="E22" s="28" t="s">
        <v>19</v>
      </c>
      <c r="F22" s="29" t="s">
        <v>160</v>
      </c>
      <c r="G22" s="29" t="s">
        <v>56</v>
      </c>
      <c r="H22" s="29" t="s">
        <v>196</v>
      </c>
      <c r="I22" s="32">
        <v>1</v>
      </c>
      <c r="J22" s="33">
        <v>0</v>
      </c>
      <c r="K22" s="33">
        <v>45</v>
      </c>
      <c r="L22" s="33">
        <f t="shared" si="0"/>
        <v>45</v>
      </c>
      <c r="M22" s="28" t="s">
        <v>187</v>
      </c>
    </row>
    <row r="23" spans="1:13" x14ac:dyDescent="0.25">
      <c r="A23" s="17">
        <v>19</v>
      </c>
      <c r="B23" s="27">
        <v>46239</v>
      </c>
      <c r="C23" s="17" t="s">
        <v>112</v>
      </c>
      <c r="D23" s="26" t="str">
        <f>IFERROR(INDEX(Equipos!$B$5:$B$65,MATCH(C23,Equipos!$A$5:$A$65,0)),"")</f>
        <v>Carretilla elevadora eléctrica</v>
      </c>
      <c r="E23" s="17" t="s">
        <v>19</v>
      </c>
      <c r="F23" s="26" t="s">
        <v>167</v>
      </c>
      <c r="G23" s="26" t="s">
        <v>79</v>
      </c>
      <c r="H23" s="26" t="s">
        <v>210</v>
      </c>
      <c r="I23" s="31">
        <v>1.5</v>
      </c>
      <c r="J23" s="21">
        <v>30</v>
      </c>
      <c r="K23" s="21">
        <v>70</v>
      </c>
      <c r="L23" s="21">
        <f t="shared" si="0"/>
        <v>100</v>
      </c>
      <c r="M23" s="17" t="s">
        <v>187</v>
      </c>
    </row>
    <row r="24" spans="1:13" x14ac:dyDescent="0.25">
      <c r="A24" s="28">
        <v>20</v>
      </c>
      <c r="B24" s="30">
        <v>46244</v>
      </c>
      <c r="C24" s="28" t="s">
        <v>57</v>
      </c>
      <c r="D24" s="29" t="str">
        <f>IFERROR(INDEX(Equipos!$B$5:$B$65,MATCH(C24,Equipos!$A$5:$A$65,0)),"")</f>
        <v>Ascensor principal</v>
      </c>
      <c r="E24" s="28" t="s">
        <v>19</v>
      </c>
      <c r="F24" s="29" t="s">
        <v>211</v>
      </c>
      <c r="G24" s="29" t="s">
        <v>63</v>
      </c>
      <c r="H24" s="29" t="s">
        <v>212</v>
      </c>
      <c r="I24" s="32">
        <v>1</v>
      </c>
      <c r="J24" s="33">
        <v>15</v>
      </c>
      <c r="K24" s="33">
        <v>60</v>
      </c>
      <c r="L24" s="33">
        <f t="shared" si="0"/>
        <v>75</v>
      </c>
      <c r="M24" s="28" t="s">
        <v>187</v>
      </c>
    </row>
    <row r="25" spans="1:13" x14ac:dyDescent="0.25">
      <c r="A25" s="17">
        <v>21</v>
      </c>
      <c r="B25" s="27">
        <v>46248</v>
      </c>
      <c r="C25" s="17" t="s">
        <v>71</v>
      </c>
      <c r="D25" s="26" t="str">
        <f>IFERROR(INDEX(Equipos!$B$5:$B$65,MATCH(C25,Equipos!$A$5:$A$65,0)),"")</f>
        <v>Compresor de tornillo 30 CV</v>
      </c>
      <c r="E25" s="17" t="s">
        <v>22</v>
      </c>
      <c r="F25" s="26" t="s">
        <v>213</v>
      </c>
      <c r="G25" s="26" t="s">
        <v>79</v>
      </c>
      <c r="H25" s="26" t="s">
        <v>196</v>
      </c>
      <c r="I25" s="31">
        <v>3</v>
      </c>
      <c r="J25" s="21">
        <v>0</v>
      </c>
      <c r="K25" s="21">
        <v>120</v>
      </c>
      <c r="L25" s="21">
        <f t="shared" si="0"/>
        <v>120</v>
      </c>
      <c r="M25" s="17" t="s">
        <v>209</v>
      </c>
    </row>
    <row r="26" spans="1:13" x14ac:dyDescent="0.25">
      <c r="A26" s="28">
        <v>22</v>
      </c>
      <c r="B26" s="30">
        <v>46252</v>
      </c>
      <c r="C26" s="28" t="s">
        <v>106</v>
      </c>
      <c r="D26" s="29" t="str">
        <f>IFERROR(INDEX(Equipos!$B$5:$B$65,MATCH(C26,Equipos!$A$5:$A$65,0)),"")</f>
        <v>Servidor de racks CPD</v>
      </c>
      <c r="E26" s="28" t="s">
        <v>19</v>
      </c>
      <c r="F26" s="29" t="s">
        <v>164</v>
      </c>
      <c r="G26" s="29" t="s">
        <v>63</v>
      </c>
      <c r="H26" s="29" t="s">
        <v>196</v>
      </c>
      <c r="I26" s="32">
        <v>0.5</v>
      </c>
      <c r="J26" s="33">
        <v>0</v>
      </c>
      <c r="K26" s="33">
        <v>40</v>
      </c>
      <c r="L26" s="33">
        <f t="shared" si="0"/>
        <v>40</v>
      </c>
      <c r="M26" s="28" t="s">
        <v>187</v>
      </c>
    </row>
    <row r="27" spans="1:13" x14ac:dyDescent="0.25">
      <c r="A27" s="17">
        <v>23</v>
      </c>
      <c r="B27" s="27">
        <v>46255</v>
      </c>
      <c r="C27" s="17" t="s">
        <v>80</v>
      </c>
      <c r="D27" s="26" t="str">
        <f>IFERROR(INDEX(Equipos!$B$5:$B$65,MATCH(C27,Equipos!$A$5:$A$65,0)),"")</f>
        <v>Furgoneta de servicio 01</v>
      </c>
      <c r="E27" s="17" t="s">
        <v>22</v>
      </c>
      <c r="F27" s="26" t="s">
        <v>214</v>
      </c>
      <c r="G27" s="26" t="s">
        <v>86</v>
      </c>
      <c r="H27" s="26" t="s">
        <v>215</v>
      </c>
      <c r="I27" s="31">
        <v>1</v>
      </c>
      <c r="J27" s="21">
        <v>95</v>
      </c>
      <c r="K27" s="21">
        <v>45</v>
      </c>
      <c r="L27" s="21">
        <f t="shared" si="0"/>
        <v>140</v>
      </c>
      <c r="M27" s="17" t="s">
        <v>216</v>
      </c>
    </row>
    <row r="28" spans="1:13" x14ac:dyDescent="0.25">
      <c r="A28" s="34"/>
      <c r="B28" s="34"/>
      <c r="C28" s="34"/>
      <c r="D28" s="34"/>
      <c r="E28" s="34"/>
      <c r="F28" s="34"/>
      <c r="G28" s="34"/>
      <c r="H28" s="35" t="s">
        <v>217</v>
      </c>
      <c r="I28" s="36">
        <f>SUM(I5:I27)</f>
        <v>49.5</v>
      </c>
      <c r="J28" s="37">
        <f>SUM(J5:J27)</f>
        <v>1595</v>
      </c>
      <c r="K28" s="37">
        <f>SUM(K5:K27)</f>
        <v>2400</v>
      </c>
      <c r="L28" s="37">
        <f>SUM(L5:L27)</f>
        <v>3995</v>
      </c>
      <c r="M28" s="34"/>
    </row>
  </sheetData>
  <mergeCells count="2">
    <mergeCell ref="A1:M1"/>
    <mergeCell ref="A2:M2"/>
  </mergeCells>
  <conditionalFormatting sqref="E5:E27">
    <cfRule type="cellIs" dxfId="4" priority="3" operator="equal">
      <formula>"Correctivo"</formula>
    </cfRule>
    <cfRule type="cellIs" dxfId="3" priority="4" operator="equal">
      <formula>"Preventivo"</formula>
    </cfRule>
  </conditionalFormatting>
  <conditionalFormatting sqref="L5:L27">
    <cfRule type="dataBar" priority="2">
      <dataBar>
        <cfvo type="min"/>
        <cfvo type="max"/>
        <color rgb="FF12636A"/>
      </dataBar>
      <extLst>
        <ext xmlns:x14="http://schemas.microsoft.com/office/spreadsheetml/2009/9/main" uri="{B025F937-C7B1-47D3-B67F-A62EFF666E3E}">
          <x14:id>{C7494B59-C4BA-4D80-BE77-4451FDB62350}</x14:id>
        </ext>
      </extLst>
    </cfRule>
  </conditionalFormatting>
  <conditionalFormatting sqref="M5:M27">
    <cfRule type="cellIs" dxfId="2" priority="5" operator="equal">
      <formula>"Finalizado"</formula>
    </cfRule>
    <cfRule type="cellIs" dxfId="1" priority="6" operator="equal">
      <formula>"En curso"</formula>
    </cfRule>
    <cfRule type="cellIs" dxfId="0" priority="7" operator="equal">
      <formula>"Pendiente"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7494B59-C4BA-4D80-BE77-4451FDB62350}">
            <x14:dataBar axisPosition="none">
              <x14:cfvo type="min"/>
              <x14:cfvo type="max"/>
              <x14:negativeFillColor rgb="FF12636A"/>
            </x14:dataBar>
          </x14:cfRule>
          <xm:sqref>L5:L27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errorTitle="Valor no válido" error="Selecciona un valor de la lista." xr:uid="{00000000-0002-0000-0300-000000000000}">
          <x14:formula1>
            <xm:f>Equipos!$A$5:$A$65</xm:f>
          </x14:formula1>
          <x14:formula2>
            <xm:f>0</xm:f>
          </x14:formula2>
          <xm:sqref>C5:C205</xm:sqref>
        </x14:dataValidation>
        <x14:dataValidation type="list" allowBlank="1" errorTitle="Valor no válido" error="Selecciona un valor de la lista." xr:uid="{00000000-0002-0000-0300-000001000000}">
          <x14:formula1>
            <xm:f>Listas!$M$4:$M$5</xm:f>
          </x14:formula1>
          <x14:formula2>
            <xm:f>0</xm:f>
          </x14:formula2>
          <xm:sqref>E5:E205</xm:sqref>
        </x14:dataValidation>
        <x14:dataValidation type="list" allowBlank="1" errorTitle="Valor no válido" error="Selecciona un valor de la lista." xr:uid="{00000000-0002-0000-0300-000002000000}">
          <x14:formula1>
            <xm:f>Listas!$Q$4:$Q$8</xm:f>
          </x14:formula1>
          <x14:formula2>
            <xm:f>0</xm:f>
          </x14:formula2>
          <xm:sqref>G5:G205</xm:sqref>
        </x14:dataValidation>
        <x14:dataValidation type="list" allowBlank="1" errorTitle="Valor no válido" error="Selecciona un valor de la lista." xr:uid="{00000000-0002-0000-0300-000003000000}">
          <x14:formula1>
            <xm:f>Listas!$O$4:$O$6</xm:f>
          </x14:formula1>
          <x14:formula2>
            <xm:f>0</xm:f>
          </x14:formula2>
          <xm:sqref>M5:M205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6B7B80"/>
  </sheetPr>
  <dimension ref="A1:U11"/>
  <sheetViews>
    <sheetView zoomScaleNormal="100" workbookViewId="0"/>
  </sheetViews>
  <sheetFormatPr baseColWidth="10" defaultColWidth="8.7109375" defaultRowHeight="15" x14ac:dyDescent="0.25"/>
  <cols>
    <col min="1" max="18" width="15" customWidth="1"/>
    <col min="20" max="20" width="14" customWidth="1"/>
    <col min="21" max="21" width="8" customWidth="1"/>
  </cols>
  <sheetData>
    <row r="1" spans="1:21" x14ac:dyDescent="0.25">
      <c r="A1" s="2" t="s">
        <v>218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3" spans="1:21" ht="25.5" x14ac:dyDescent="0.25">
      <c r="A3" s="15" t="s">
        <v>219</v>
      </c>
      <c r="C3" s="15" t="s">
        <v>220</v>
      </c>
      <c r="E3" s="15" t="s">
        <v>46</v>
      </c>
      <c r="G3" s="15" t="s">
        <v>134</v>
      </c>
      <c r="I3" s="15" t="s">
        <v>139</v>
      </c>
      <c r="K3" s="15" t="s">
        <v>221</v>
      </c>
      <c r="M3" s="15" t="s">
        <v>222</v>
      </c>
      <c r="O3" s="15" t="s">
        <v>223</v>
      </c>
      <c r="Q3" s="15" t="s">
        <v>224</v>
      </c>
      <c r="T3" s="15" t="s">
        <v>134</v>
      </c>
      <c r="U3" s="15" t="s">
        <v>135</v>
      </c>
    </row>
    <row r="4" spans="1:21" x14ac:dyDescent="0.25">
      <c r="A4" s="26" t="s">
        <v>21</v>
      </c>
      <c r="C4" s="26" t="s">
        <v>54</v>
      </c>
      <c r="E4" s="26" t="s">
        <v>55</v>
      </c>
      <c r="G4" s="26" t="s">
        <v>225</v>
      </c>
      <c r="I4" s="26" t="s">
        <v>55</v>
      </c>
      <c r="K4" s="26" t="s">
        <v>20</v>
      </c>
      <c r="M4" s="26" t="s">
        <v>19</v>
      </c>
      <c r="O4" s="26" t="s">
        <v>187</v>
      </c>
      <c r="Q4" s="26" t="s">
        <v>86</v>
      </c>
      <c r="T4" s="16" t="s">
        <v>225</v>
      </c>
      <c r="U4" s="17">
        <v>1</v>
      </c>
    </row>
    <row r="5" spans="1:21" x14ac:dyDescent="0.25">
      <c r="A5" s="26" t="s">
        <v>24</v>
      </c>
      <c r="C5" s="26" t="s">
        <v>77</v>
      </c>
      <c r="E5" s="26" t="s">
        <v>78</v>
      </c>
      <c r="G5" s="26" t="s">
        <v>165</v>
      </c>
      <c r="I5" s="26" t="s">
        <v>78</v>
      </c>
      <c r="K5" s="26" t="s">
        <v>23</v>
      </c>
      <c r="M5" s="26" t="s">
        <v>22</v>
      </c>
      <c r="O5" s="26" t="s">
        <v>209</v>
      </c>
      <c r="Q5" s="26" t="s">
        <v>56</v>
      </c>
      <c r="T5" s="16" t="s">
        <v>165</v>
      </c>
      <c r="U5" s="17">
        <v>7</v>
      </c>
    </row>
    <row r="6" spans="1:21" x14ac:dyDescent="0.25">
      <c r="A6" s="26" t="s">
        <v>26</v>
      </c>
      <c r="C6" s="26" t="s">
        <v>124</v>
      </c>
      <c r="E6" s="26" t="s">
        <v>105</v>
      </c>
      <c r="G6" s="26" t="s">
        <v>226</v>
      </c>
      <c r="I6" s="26" t="s">
        <v>105</v>
      </c>
      <c r="K6" s="26" t="s">
        <v>25</v>
      </c>
      <c r="O6" s="26" t="s">
        <v>216</v>
      </c>
      <c r="Q6" s="26" t="s">
        <v>63</v>
      </c>
      <c r="T6" s="16" t="s">
        <v>226</v>
      </c>
      <c r="U6" s="17">
        <v>15</v>
      </c>
    </row>
    <row r="7" spans="1:21" x14ac:dyDescent="0.25">
      <c r="A7" s="26" t="s">
        <v>28</v>
      </c>
      <c r="C7" s="26" t="s">
        <v>105</v>
      </c>
      <c r="G7" s="26" t="s">
        <v>142</v>
      </c>
      <c r="Q7" s="26" t="s">
        <v>70</v>
      </c>
      <c r="T7" s="16" t="s">
        <v>142</v>
      </c>
      <c r="U7" s="17">
        <v>30</v>
      </c>
    </row>
    <row r="8" spans="1:21" x14ac:dyDescent="0.25">
      <c r="A8" s="26" t="s">
        <v>27</v>
      </c>
      <c r="G8" s="26" t="s">
        <v>170</v>
      </c>
      <c r="Q8" s="26" t="s">
        <v>79</v>
      </c>
      <c r="T8" s="16" t="s">
        <v>170</v>
      </c>
      <c r="U8" s="17">
        <v>60</v>
      </c>
    </row>
    <row r="9" spans="1:21" x14ac:dyDescent="0.25">
      <c r="A9" s="26" t="s">
        <v>30</v>
      </c>
      <c r="G9" s="26" t="s">
        <v>154</v>
      </c>
      <c r="T9" s="16" t="s">
        <v>154</v>
      </c>
      <c r="U9" s="17">
        <v>90</v>
      </c>
    </row>
    <row r="10" spans="1:21" x14ac:dyDescent="0.25">
      <c r="A10" s="26" t="s">
        <v>31</v>
      </c>
      <c r="G10" s="26" t="s">
        <v>145</v>
      </c>
      <c r="T10" s="16" t="s">
        <v>145</v>
      </c>
      <c r="U10" s="17">
        <v>180</v>
      </c>
    </row>
    <row r="11" spans="1:21" x14ac:dyDescent="0.25">
      <c r="A11" s="26" t="s">
        <v>29</v>
      </c>
      <c r="G11" s="26" t="s">
        <v>151</v>
      </c>
      <c r="T11" s="16" t="s">
        <v>151</v>
      </c>
      <c r="U11" s="17">
        <v>365</v>
      </c>
    </row>
  </sheetData>
  <mergeCells count="1">
    <mergeCell ref="A1:R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Panel</vt:lpstr>
      <vt:lpstr>Equipos</vt:lpstr>
      <vt:lpstr>Plan preventivo</vt:lpstr>
      <vt:lpstr>Historial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2026-08-25T07:29:42Z</dcterms:created>
  <dcterms:modified xsi:type="dcterms:W3CDTF">2026-08-26T08:19:08Z</dcterms:modified>
  <dc:language>en-US</dc:language>
</cp:coreProperties>
</file>