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Factureo\Generador\"/>
    </mc:Choice>
  </mc:AlternateContent>
  <xr:revisionPtr revIDLastSave="0" documentId="13_ncr:1_{085AED8C-365C-40FD-8EF2-C75B6BA539D2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Resultados" sheetId="1" r:id="rId1"/>
    <sheet name="Balance" sheetId="2" r:id="rId2"/>
    <sheet name="Flujos" sheetId="3" r:id="rId3"/>
    <sheet name="Ratios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2" i="4" l="1"/>
  <c r="B22" i="4"/>
  <c r="C21" i="4"/>
  <c r="B21" i="4"/>
  <c r="C20" i="4"/>
  <c r="B20" i="4"/>
  <c r="C9" i="4"/>
  <c r="B36" i="3"/>
  <c r="B34" i="3"/>
  <c r="B29" i="3"/>
  <c r="B28" i="3"/>
  <c r="B25" i="3"/>
  <c r="B24" i="3"/>
  <c r="B26" i="3" s="1"/>
  <c r="B21" i="3"/>
  <c r="B20" i="3"/>
  <c r="B19" i="3"/>
  <c r="B16" i="3"/>
  <c r="B15" i="3"/>
  <c r="B14" i="3"/>
  <c r="B17" i="3" s="1"/>
  <c r="B11" i="3"/>
  <c r="B10" i="3"/>
  <c r="B9" i="3"/>
  <c r="E27" i="2"/>
  <c r="E26" i="2"/>
  <c r="E25" i="2"/>
  <c r="C24" i="2"/>
  <c r="B24" i="2"/>
  <c r="B9" i="4" s="1"/>
  <c r="E23" i="2"/>
  <c r="E22" i="2"/>
  <c r="C22" i="2"/>
  <c r="B22" i="2"/>
  <c r="E20" i="2"/>
  <c r="E19" i="2"/>
  <c r="E15" i="2"/>
  <c r="E14" i="2"/>
  <c r="E13" i="2"/>
  <c r="E12" i="2"/>
  <c r="C11" i="2"/>
  <c r="C8" i="4" s="1"/>
  <c r="B11" i="2"/>
  <c r="B8" i="4" s="1"/>
  <c r="E10" i="2"/>
  <c r="E9" i="2"/>
  <c r="E8" i="2"/>
  <c r="C7" i="2"/>
  <c r="C16" i="2" s="1"/>
  <c r="C13" i="4" s="1"/>
  <c r="B7" i="2"/>
  <c r="E19" i="1"/>
  <c r="D19" i="1"/>
  <c r="C17" i="1"/>
  <c r="B17" i="1"/>
  <c r="D17" i="1" s="1"/>
  <c r="E16" i="1"/>
  <c r="D16" i="1"/>
  <c r="E15" i="1"/>
  <c r="D15" i="1"/>
  <c r="E13" i="1"/>
  <c r="D13" i="1"/>
  <c r="E12" i="1"/>
  <c r="D12" i="1"/>
  <c r="E11" i="1"/>
  <c r="D11" i="1"/>
  <c r="E10" i="1"/>
  <c r="D10" i="1"/>
  <c r="C9" i="1"/>
  <c r="C14" i="1" s="1"/>
  <c r="B9" i="1"/>
  <c r="D9" i="1" s="1"/>
  <c r="E8" i="1"/>
  <c r="D8" i="1"/>
  <c r="E7" i="1"/>
  <c r="D7" i="1"/>
  <c r="E17" i="1" l="1"/>
  <c r="E9" i="1"/>
  <c r="C18" i="1"/>
  <c r="C20" i="1" s="1"/>
  <c r="C17" i="4"/>
  <c r="C16" i="4"/>
  <c r="E11" i="2"/>
  <c r="B14" i="1"/>
  <c r="B7" i="4"/>
  <c r="B16" i="2"/>
  <c r="D11" i="2" s="1"/>
  <c r="E7" i="2"/>
  <c r="C7" i="4"/>
  <c r="D24" i="2"/>
  <c r="E24" i="2"/>
  <c r="D7" i="2" l="1"/>
  <c r="B18" i="1"/>
  <c r="E14" i="1"/>
  <c r="D14" i="1"/>
  <c r="B17" i="4"/>
  <c r="B16" i="4"/>
  <c r="B30" i="3"/>
  <c r="B31" i="3" s="1"/>
  <c r="C21" i="2"/>
  <c r="C18" i="2" s="1"/>
  <c r="C15" i="4"/>
  <c r="D25" i="2"/>
  <c r="D10" i="2"/>
  <c r="D9" i="2"/>
  <c r="D16" i="2"/>
  <c r="D23" i="2"/>
  <c r="D26" i="2"/>
  <c r="D15" i="2"/>
  <c r="E16" i="2"/>
  <c r="D8" i="2"/>
  <c r="D22" i="2"/>
  <c r="D19" i="2"/>
  <c r="D14" i="2"/>
  <c r="D13" i="2"/>
  <c r="D12" i="2"/>
  <c r="D20" i="2"/>
  <c r="D27" i="2"/>
  <c r="B13" i="4"/>
  <c r="C28" i="2" l="1"/>
  <c r="C11" i="4" s="1"/>
  <c r="C18" i="4"/>
  <c r="B7" i="3"/>
  <c r="B12" i="3" s="1"/>
  <c r="B22" i="3" s="1"/>
  <c r="B33" i="3" s="1"/>
  <c r="B35" i="3" s="1"/>
  <c r="A38" i="3" s="1"/>
  <c r="B20" i="1"/>
  <c r="E18" i="1"/>
  <c r="D18" i="1"/>
  <c r="C12" i="4" l="1"/>
  <c r="E20" i="1"/>
  <c r="D20" i="1"/>
  <c r="B21" i="2"/>
  <c r="B15" i="4"/>
  <c r="B18" i="2" l="1"/>
  <c r="E21" i="2"/>
  <c r="D21" i="2"/>
  <c r="E18" i="2" l="1"/>
  <c r="D18" i="2"/>
  <c r="B28" i="2"/>
  <c r="B12" i="4"/>
  <c r="B18" i="4"/>
  <c r="E28" i="2" l="1"/>
  <c r="D28" i="2"/>
  <c r="B11" i="4"/>
  <c r="A30" i="2"/>
</calcChain>
</file>

<file path=xl/sharedStrings.xml><?xml version="1.0" encoding="utf-8"?>
<sst xmlns="http://schemas.openxmlformats.org/spreadsheetml/2006/main" count="158" uniqueCount="138">
  <si>
    <t>COMERCIAL ALDEBARÁN, S.L.</t>
  </si>
  <si>
    <t>Cuenta de Pérdidas y Ganancias  ·  Ejercicios 2025 y 2024</t>
  </si>
  <si>
    <t>Celdas azules = introduce tus importes. Los gastos van en negativo. Los subtotales en gris se calculan solos.</t>
  </si>
  <si>
    <t>Concepto</t>
  </si>
  <si>
    <t>2025</t>
  </si>
  <si>
    <t>2024</t>
  </si>
  <si>
    <t>% s/ventas</t>
  </si>
  <si>
    <t>Var. %</t>
  </si>
  <si>
    <t>Importe neto de la cifra de negocios (Ventas)</t>
  </si>
  <si>
    <t>Aprovisionamientos (coste de ventas)</t>
  </si>
  <si>
    <t>MARGEN BRUTO</t>
  </si>
  <si>
    <t xml:space="preserve">    Otros ingresos de explotación</t>
  </si>
  <si>
    <t xml:space="preserve">    Gastos de personal</t>
  </si>
  <si>
    <t xml:space="preserve">    Otros gastos de explotación</t>
  </si>
  <si>
    <t xml:space="preserve">    Amortización del inmovilizado</t>
  </si>
  <si>
    <t>RESULTADO DE EXPLOTACIÓN (EBIT)</t>
  </si>
  <si>
    <t xml:space="preserve">    Ingresos financieros</t>
  </si>
  <si>
    <t xml:space="preserve">    Gastos financieros</t>
  </si>
  <si>
    <t>RESULTADO FINANCIERO</t>
  </si>
  <si>
    <t>RESULTADO ANTES DE IMPUESTOS</t>
  </si>
  <si>
    <t xml:space="preserve">    Impuesto sobre beneficios</t>
  </si>
  <si>
    <t>RESULTADO DEL EJERCICIO</t>
  </si>
  <si>
    <t>Balance de Situación  ·  a 31/12/2025 y 31/12/2024</t>
  </si>
  <si>
    <t>Celdas azules = editables · verde = enlazado desde Resultados · gris = totales automáticos.</t>
  </si>
  <si>
    <t>% s/activo</t>
  </si>
  <si>
    <t>ACTIVO</t>
  </si>
  <si>
    <t>A) ACTIVO NO CORRIENTE</t>
  </si>
  <si>
    <t xml:space="preserve">    Inmovilizado intangible</t>
  </si>
  <si>
    <t xml:space="preserve">    Inmovilizado material</t>
  </si>
  <si>
    <t xml:space="preserve">    Inversiones financieras a largo plazo</t>
  </si>
  <si>
    <t>B) ACTIVO CORRIENTE</t>
  </si>
  <si>
    <t xml:space="preserve">    Existencias</t>
  </si>
  <si>
    <t xml:space="preserve">    Deudores comerciales (clientes)</t>
  </si>
  <si>
    <t xml:space="preserve">    Inversiones financieras a corto plazo</t>
  </si>
  <si>
    <t xml:space="preserve">    Efectivo y otros activos líquidos</t>
  </si>
  <si>
    <t>TOTAL ACTIVO</t>
  </si>
  <si>
    <t>PATRIMONIO NETO Y PASIVO</t>
  </si>
  <si>
    <t>A) PATRIMONIO NETO</t>
  </si>
  <si>
    <t xml:space="preserve">    Capital</t>
  </si>
  <si>
    <t xml:space="preserve">    Reservas</t>
  </si>
  <si>
    <t xml:space="preserve">    Resultado del ejercicio</t>
  </si>
  <si>
    <t>B) PASIVO NO CORRIENTE</t>
  </si>
  <si>
    <t xml:space="preserve">    Deudas a largo plazo</t>
  </si>
  <si>
    <t>C) PASIVO CORRIENTE</t>
  </si>
  <si>
    <t xml:space="preserve">    Deudas a corto plazo</t>
  </si>
  <si>
    <t xml:space="preserve">    Acreedores comerciales (proveedores)</t>
  </si>
  <si>
    <t xml:space="preserve">    Otras deudas (Administración pública, etc.)</t>
  </si>
  <si>
    <t>TOTAL PATRIMONIO NETO Y PASIVO</t>
  </si>
  <si>
    <t>Estado de Flujos de Efectivo  ·  Ejercicio 2025  (método indirecto)</t>
  </si>
  <si>
    <t>Hoja calculada automáticamente a partir de Resultados y Balance. No requiere edición.</t>
  </si>
  <si>
    <t>Importe 2025</t>
  </si>
  <si>
    <t>Cálculo / origen</t>
  </si>
  <si>
    <t>A) FLUJOS DE EFECTIVO DE LAS ACTIVIDADES DE EXPLOTACIÓN</t>
  </si>
  <si>
    <t xml:space="preserve">    Resultado del ejercicio antes de impuestos</t>
  </si>
  <si>
    <t>Resultados · BAI</t>
  </si>
  <si>
    <t>Ajustes del resultado:</t>
  </si>
  <si>
    <t>Gasto sin salida de caja</t>
  </si>
  <si>
    <t>Se reclasifica a otros flujos</t>
  </si>
  <si>
    <t xml:space="preserve">    Resultado ajustado</t>
  </si>
  <si>
    <t>Cambios en el capital corriente:</t>
  </si>
  <si>
    <t xml:space="preserve">    Variación de existencias</t>
  </si>
  <si>
    <t>Δ Balance (un aumento resta caja)</t>
  </si>
  <si>
    <t xml:space="preserve">    Variación de deudores (clientes)</t>
  </si>
  <si>
    <t>Δ Balance</t>
  </si>
  <si>
    <t xml:space="preserve">    Variación de acreedores (proveedores)</t>
  </si>
  <si>
    <t>Δ Balance (un aumento suma caja)</t>
  </si>
  <si>
    <t xml:space="preserve">    Total cambios en el capital corriente</t>
  </si>
  <si>
    <t>Otros flujos de explotación:</t>
  </si>
  <si>
    <t xml:space="preserve">    Intereses pagados</t>
  </si>
  <si>
    <t>Resultados</t>
  </si>
  <si>
    <t xml:space="preserve">    Intereses cobrados</t>
  </si>
  <si>
    <t xml:space="preserve">    Impuestos sobre beneficios pagados</t>
  </si>
  <si>
    <t>Gasto ajustado por Δ deuda tributaria</t>
  </si>
  <si>
    <t>FLUJO DE EFECTIVO DE LA EXPLOTACIÓN (A)</t>
  </si>
  <si>
    <t>B) FLUJOS DE EFECTIVO DE LAS ACTIVIDADES DE INVERSIÓN</t>
  </si>
  <si>
    <t xml:space="preserve">    Pagos por inversiones en inmovilizado</t>
  </si>
  <si>
    <t>Δ inmovilizado neto + amortización</t>
  </si>
  <si>
    <t xml:space="preserve">    Variación de inversiones financieras a c/p</t>
  </si>
  <si>
    <t>FLUJO DE EFECTIVO DE LA INVERSIÓN (B)</t>
  </si>
  <si>
    <t>C) FLUJOS DE EFECTIVO DE LAS ACTIVIDADES DE FINANCIACIÓN</t>
  </si>
  <si>
    <t xml:space="preserve">    Variación de deudas a largo plazo</t>
  </si>
  <si>
    <t xml:space="preserve">    Variación de deudas a corto plazo (bancos)</t>
  </si>
  <si>
    <t xml:space="preserve">    Dividendos pagados</t>
  </si>
  <si>
    <t>Resultado anterior no retenido en reservas</t>
  </si>
  <si>
    <t>FLUJO DE EFECTIVO DE LA FINANCIACIÓN (C)</t>
  </si>
  <si>
    <t>VARIACIÓN NETA DEL EFECTIVO (A+B+C)</t>
  </si>
  <si>
    <t xml:space="preserve">    Efectivo al inicio del ejercicio</t>
  </si>
  <si>
    <t>Balance año anterior</t>
  </si>
  <si>
    <t xml:space="preserve">    Efectivo al final del ejercicio (calculado)</t>
  </si>
  <si>
    <t xml:space="preserve">    Efectivo al final según Balance</t>
  </si>
  <si>
    <t>Debe coincidir con la línea anterior</t>
  </si>
  <si>
    <t>Ratios y Análisis Financiero  ·  2025 vs 2024</t>
  </si>
  <si>
    <t>Indicadores calculados automáticamente desde los estados financieros.</t>
  </si>
  <si>
    <t>Ratio</t>
  </si>
  <si>
    <t>Fórmula</t>
  </si>
  <si>
    <t>Referencia orientativa</t>
  </si>
  <si>
    <t>LIQUIDEZ</t>
  </si>
  <si>
    <t>Ratio de liquidez (circulante)</t>
  </si>
  <si>
    <t>Activo corriente / Pasivo corriente</t>
  </si>
  <si>
    <t>&gt; 1,5 holgada · ~1 ajustada</t>
  </si>
  <si>
    <t>Prueba ácida (test ácido)</t>
  </si>
  <si>
    <t>(Activo corriente − Existencias) / Pasivo corriente</t>
  </si>
  <si>
    <t>≈ 1 recomendable</t>
  </si>
  <si>
    <t>Ratio de tesorería</t>
  </si>
  <si>
    <t>Efectivo / Pasivo corriente</t>
  </si>
  <si>
    <t>0,1 – 0,3 orientativo</t>
  </si>
  <si>
    <t>ENDEUDAMIENTO Y SOLVENCIA</t>
  </si>
  <si>
    <t>Ratio de endeudamiento</t>
  </si>
  <si>
    <t>Pasivo total / (Patrimonio neto + Pasivo)</t>
  </si>
  <si>
    <t>0,4 – 0,6 equilibrado</t>
  </si>
  <si>
    <t>Autonomía financiera</t>
  </si>
  <si>
    <t>Patrimonio neto / Total</t>
  </si>
  <si>
    <t>&gt; 40% saludable</t>
  </si>
  <si>
    <t>Ratio de solvencia</t>
  </si>
  <si>
    <t>Activo total / Pasivo total</t>
  </si>
  <si>
    <t>&gt; 1,5 solvente</t>
  </si>
  <si>
    <t>RENTABILIDAD</t>
  </si>
  <si>
    <t>Margen neto</t>
  </si>
  <si>
    <t>Resultado del ejercicio / Ventas</t>
  </si>
  <si>
    <t>cuanto mayor, mejor</t>
  </si>
  <si>
    <t>Margen de explotación (EBIT)</t>
  </si>
  <si>
    <t>EBIT / Ventas</t>
  </si>
  <si>
    <t>ROA (rentabilidad del activo)</t>
  </si>
  <si>
    <t>EBIT / Activo total</t>
  </si>
  <si>
    <t>&gt; coste de la deuda</t>
  </si>
  <si>
    <t>ROE (rentabilidad financiera)</t>
  </si>
  <si>
    <t>Resultado del ejercicio / Patrimonio neto</t>
  </si>
  <si>
    <t>&gt; ROA con apalancamiento</t>
  </si>
  <si>
    <t>ACTIVIDAD</t>
  </si>
  <si>
    <t>Periodo medio de cobro (días)</t>
  </si>
  <si>
    <t>Clientes / Ventas × 365</t>
  </si>
  <si>
    <t>cuanto menor, mejor</t>
  </si>
  <si>
    <t>Periodo medio de pago (días)</t>
  </si>
  <si>
    <t>Proveedores / Compras × 365</t>
  </si>
  <si>
    <t>coherente con el sector</t>
  </si>
  <si>
    <t>Rotación de existencias (veces)</t>
  </si>
  <si>
    <t>Compras / Existencias</t>
  </si>
  <si>
    <t>PLANTILLA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</si>
</sst>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 €&quot;;\(#,##0&quot; €)&quot;"/>
    <numFmt numFmtId="165" formatCode="0.0%"/>
    <numFmt numFmtId="166" formatCode="\+0.0%;\-0.0%;0.0%"/>
    <numFmt numFmtId="167" formatCode="0.0"/>
  </numFmts>
  <fonts count="15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b/>
      <sz val="11"/>
      <color rgb="FF1F3864"/>
      <name val="Arial"/>
      <charset val="1"/>
    </font>
    <font>
      <i/>
      <sz val="8"/>
      <color rgb="FF595959"/>
      <name val="Arial"/>
      <charset val="1"/>
    </font>
    <font>
      <b/>
      <sz val="10"/>
      <color rgb="FFFFFFFF"/>
      <name val="Arial"/>
      <charset val="1"/>
    </font>
    <font>
      <sz val="10"/>
      <color rgb="FF000000"/>
      <name val="Arial"/>
      <charset val="1"/>
    </font>
    <font>
      <sz val="10"/>
      <color rgb="FF0000FF"/>
      <name val="Arial"/>
      <charset val="1"/>
    </font>
    <font>
      <sz val="9"/>
      <color rgb="FF595959"/>
      <name val="Arial"/>
      <charset val="1"/>
    </font>
    <font>
      <b/>
      <sz val="10"/>
      <color rgb="FF000000"/>
      <name val="Arial"/>
      <charset val="1"/>
    </font>
    <font>
      <b/>
      <sz val="11"/>
      <color rgb="FFFFFFFF"/>
      <name val="Arial"/>
      <charset val="1"/>
    </font>
    <font>
      <sz val="10"/>
      <color rgb="FF008000"/>
      <name val="Arial"/>
      <charset val="1"/>
    </font>
    <font>
      <i/>
      <sz val="9"/>
      <color rgb="FF595959"/>
      <name val="Arial"/>
      <charset val="1"/>
    </font>
    <font>
      <sz val="10"/>
      <color rgb="FF595959"/>
      <name val="Arial"/>
      <charset val="1"/>
    </font>
    <font>
      <sz val="8"/>
      <color rgb="FF595959"/>
      <name val="Arial"/>
      <charset val="1"/>
    </font>
    <font>
      <b/>
      <sz val="20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496"/>
        <bgColor rgb="FF1F3864"/>
      </patternFill>
    </fill>
    <fill>
      <patternFill patternType="solid">
        <fgColor rgb="FFD9E1F2"/>
        <bgColor rgb="FFD9D9D9"/>
      </patternFill>
    </fill>
    <fill>
      <patternFill patternType="solid">
        <fgColor rgb="FF8EAADB"/>
        <bgColor rgb="FF969696"/>
      </patternFill>
    </fill>
    <fill>
      <patternFill patternType="solid">
        <fgColor rgb="FFBDD7EE"/>
        <bgColor rgb="FFD9D9D9"/>
      </patternFill>
    </fill>
    <fill>
      <patternFill patternType="solid">
        <fgColor theme="3" tint="-0.499984740745262"/>
        <bgColor rgb="FF333333"/>
      </patternFill>
    </fill>
    <fill>
      <patternFill patternType="solid">
        <fgColor theme="3" tint="-0.499984740745262"/>
        <bgColor rgb="FF1F38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1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164" fontId="8" fillId="4" borderId="1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Border="1" applyAlignment="1">
      <alignment horizontal="center" vertical="center"/>
    </xf>
    <xf numFmtId="166" fontId="7" fillId="4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164" fontId="9" fillId="3" borderId="1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164" fontId="8" fillId="6" borderId="1" xfId="0" applyNumberFormat="1" applyFont="1" applyFill="1" applyBorder="1" applyAlignment="1">
      <alignment horizontal="right" vertical="center"/>
    </xf>
    <xf numFmtId="165" fontId="7" fillId="6" borderId="1" xfId="0" applyNumberFormat="1" applyFont="1" applyFill="1" applyBorder="1" applyAlignment="1">
      <alignment horizontal="center" vertical="center"/>
    </xf>
    <xf numFmtId="166" fontId="7" fillId="6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0" fontId="14" fillId="7" borderId="0" xfId="0" applyFont="1" applyFill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4"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006100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006100"/>
        <name val="Arial"/>
        <charset val="1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D9D9D9"/>
      <rgbColor rgb="FF808080"/>
      <rgbColor rgb="FF8EAADB"/>
      <rgbColor rgb="FF993366"/>
      <rgbColor rgb="FFFFFFCC"/>
      <rgbColor rgb="FFD9E1F2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6100"/>
      <rgbColor rgb="FF333300"/>
      <rgbColor rgb="FF993300"/>
      <rgbColor rgb="FF993366"/>
      <rgbColor rgb="FF2E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showGridLines="0" tabSelected="1" zoomScaleNormal="100" workbookViewId="0">
      <pane ySplit="6" topLeftCell="A7" activePane="bottomLeft" state="frozen"/>
      <selection pane="bottomLeft" activeCell="E27" sqref="E27"/>
    </sheetView>
  </sheetViews>
  <sheetFormatPr baseColWidth="10" defaultColWidth="8.7109375" defaultRowHeight="15" x14ac:dyDescent="0.25"/>
  <cols>
    <col min="1" max="1" width="46" customWidth="1"/>
    <col min="2" max="3" width="15" customWidth="1"/>
    <col min="4" max="4" width="11" customWidth="1"/>
    <col min="5" max="5" width="10" customWidth="1"/>
  </cols>
  <sheetData>
    <row r="1" spans="1:5" ht="30" customHeight="1" x14ac:dyDescent="0.25">
      <c r="A1" s="34" t="s">
        <v>137</v>
      </c>
      <c r="B1" s="34"/>
      <c r="C1" s="34"/>
      <c r="D1" s="34"/>
      <c r="E1" s="34"/>
    </row>
    <row r="2" spans="1:5" ht="18" x14ac:dyDescent="0.25">
      <c r="A2" s="6" t="s">
        <v>0</v>
      </c>
      <c r="B2" s="6"/>
      <c r="C2" s="6"/>
      <c r="D2" s="6"/>
      <c r="E2" s="6"/>
    </row>
    <row r="3" spans="1:5" x14ac:dyDescent="0.25">
      <c r="A3" s="5" t="s">
        <v>1</v>
      </c>
      <c r="B3" s="5"/>
      <c r="C3" s="5"/>
      <c r="D3" s="5"/>
      <c r="E3" s="5"/>
    </row>
    <row r="4" spans="1:5" x14ac:dyDescent="0.25">
      <c r="A4" s="4" t="s">
        <v>2</v>
      </c>
      <c r="B4" s="4"/>
      <c r="C4" s="4"/>
      <c r="D4" s="4"/>
      <c r="E4" s="4"/>
    </row>
    <row r="6" spans="1:5" x14ac:dyDescent="0.25">
      <c r="A6" s="35" t="s">
        <v>3</v>
      </c>
      <c r="B6" s="36" t="s">
        <v>4</v>
      </c>
      <c r="C6" s="36" t="s">
        <v>5</v>
      </c>
      <c r="D6" s="36" t="s">
        <v>6</v>
      </c>
      <c r="E6" s="36" t="s">
        <v>7</v>
      </c>
    </row>
    <row r="7" spans="1:5" x14ac:dyDescent="0.25">
      <c r="A7" s="9" t="s">
        <v>8</v>
      </c>
      <c r="B7" s="10">
        <v>1850000</v>
      </c>
      <c r="C7" s="10">
        <v>1620000</v>
      </c>
      <c r="D7" s="11">
        <f t="shared" ref="D7:D20" si="0">IFERROR(B7/$B$7,"")</f>
        <v>1</v>
      </c>
      <c r="E7" s="12">
        <f t="shared" ref="E7:E20" si="1">IFERROR(B7/C7-1,"")</f>
        <v>0.14197530864197527</v>
      </c>
    </row>
    <row r="8" spans="1:5" x14ac:dyDescent="0.25">
      <c r="A8" s="9" t="s">
        <v>9</v>
      </c>
      <c r="B8" s="10">
        <v>-1020000</v>
      </c>
      <c r="C8" s="10">
        <v>-910000</v>
      </c>
      <c r="D8" s="11">
        <f t="shared" si="0"/>
        <v>-0.55135135135135138</v>
      </c>
      <c r="E8" s="12">
        <f t="shared" si="1"/>
        <v>0.12087912087912089</v>
      </c>
    </row>
    <row r="9" spans="1:5" x14ac:dyDescent="0.25">
      <c r="A9" s="13" t="s">
        <v>10</v>
      </c>
      <c r="B9" s="14">
        <f>B7+B8</f>
        <v>830000</v>
      </c>
      <c r="C9" s="14">
        <f>C7+C8</f>
        <v>710000</v>
      </c>
      <c r="D9" s="15">
        <f t="shared" si="0"/>
        <v>0.44864864864864867</v>
      </c>
      <c r="E9" s="16">
        <f t="shared" si="1"/>
        <v>0.16901408450704225</v>
      </c>
    </row>
    <row r="10" spans="1:5" x14ac:dyDescent="0.25">
      <c r="A10" s="9" t="s">
        <v>11</v>
      </c>
      <c r="B10" s="10">
        <v>25000</v>
      </c>
      <c r="C10" s="10">
        <v>18000</v>
      </c>
      <c r="D10" s="11">
        <f t="shared" si="0"/>
        <v>1.3513513513513514E-2</v>
      </c>
      <c r="E10" s="12">
        <f t="shared" si="1"/>
        <v>0.38888888888888884</v>
      </c>
    </row>
    <row r="11" spans="1:5" x14ac:dyDescent="0.25">
      <c r="A11" s="9" t="s">
        <v>12</v>
      </c>
      <c r="B11" s="10">
        <v>-430000</v>
      </c>
      <c r="C11" s="10">
        <v>-395000</v>
      </c>
      <c r="D11" s="11">
        <f t="shared" si="0"/>
        <v>-0.23243243243243245</v>
      </c>
      <c r="E11" s="12">
        <f t="shared" si="1"/>
        <v>8.8607594936708889E-2</v>
      </c>
    </row>
    <row r="12" spans="1:5" x14ac:dyDescent="0.25">
      <c r="A12" s="9" t="s">
        <v>13</v>
      </c>
      <c r="B12" s="10">
        <v>-180000</v>
      </c>
      <c r="C12" s="10">
        <v>-168000</v>
      </c>
      <c r="D12" s="11">
        <f t="shared" si="0"/>
        <v>-9.7297297297297303E-2</v>
      </c>
      <c r="E12" s="12">
        <f t="shared" si="1"/>
        <v>7.1428571428571397E-2</v>
      </c>
    </row>
    <row r="13" spans="1:5" x14ac:dyDescent="0.25">
      <c r="A13" s="9" t="s">
        <v>14</v>
      </c>
      <c r="B13" s="10">
        <v>-95000</v>
      </c>
      <c r="C13" s="10">
        <v>-88000</v>
      </c>
      <c r="D13" s="11">
        <f t="shared" si="0"/>
        <v>-5.1351351351351354E-2</v>
      </c>
      <c r="E13" s="12">
        <f t="shared" si="1"/>
        <v>7.9545454545454586E-2</v>
      </c>
    </row>
    <row r="14" spans="1:5" x14ac:dyDescent="0.25">
      <c r="A14" s="13" t="s">
        <v>15</v>
      </c>
      <c r="B14" s="14">
        <f>B9+B10+B11+B12+B13</f>
        <v>150000</v>
      </c>
      <c r="C14" s="14">
        <f>C9+C10+C11+C12+C13</f>
        <v>77000</v>
      </c>
      <c r="D14" s="15">
        <f t="shared" si="0"/>
        <v>8.1081081081081086E-2</v>
      </c>
      <c r="E14" s="16">
        <f t="shared" si="1"/>
        <v>0.94805194805194803</v>
      </c>
    </row>
    <row r="15" spans="1:5" x14ac:dyDescent="0.25">
      <c r="A15" s="9" t="s">
        <v>16</v>
      </c>
      <c r="B15" s="10">
        <v>3000</v>
      </c>
      <c r="C15" s="10">
        <v>2000</v>
      </c>
      <c r="D15" s="11">
        <f t="shared" si="0"/>
        <v>1.6216216216216215E-3</v>
      </c>
      <c r="E15" s="12">
        <f t="shared" si="1"/>
        <v>0.5</v>
      </c>
    </row>
    <row r="16" spans="1:5" x14ac:dyDescent="0.25">
      <c r="A16" s="9" t="s">
        <v>17</v>
      </c>
      <c r="B16" s="10">
        <v>-28000</v>
      </c>
      <c r="C16" s="10">
        <v>-30000</v>
      </c>
      <c r="D16" s="11">
        <f t="shared" si="0"/>
        <v>-1.5135135135135135E-2</v>
      </c>
      <c r="E16" s="12">
        <f t="shared" si="1"/>
        <v>-6.6666666666666652E-2</v>
      </c>
    </row>
    <row r="17" spans="1:5" x14ac:dyDescent="0.25">
      <c r="A17" s="13" t="s">
        <v>18</v>
      </c>
      <c r="B17" s="14">
        <f>B15+B16</f>
        <v>-25000</v>
      </c>
      <c r="C17" s="14">
        <f>C15+C16</f>
        <v>-28000</v>
      </c>
      <c r="D17" s="15">
        <f t="shared" si="0"/>
        <v>-1.3513513513513514E-2</v>
      </c>
      <c r="E17" s="16">
        <f t="shared" si="1"/>
        <v>-0.1071428571428571</v>
      </c>
    </row>
    <row r="18" spans="1:5" x14ac:dyDescent="0.25">
      <c r="A18" s="13" t="s">
        <v>19</v>
      </c>
      <c r="B18" s="14">
        <f>B14+B17</f>
        <v>125000</v>
      </c>
      <c r="C18" s="14">
        <f>C14+C17</f>
        <v>49000</v>
      </c>
      <c r="D18" s="15">
        <f t="shared" si="0"/>
        <v>6.7567567567567571E-2</v>
      </c>
      <c r="E18" s="16">
        <f t="shared" si="1"/>
        <v>1.5510204081632653</v>
      </c>
    </row>
    <row r="19" spans="1:5" x14ac:dyDescent="0.25">
      <c r="A19" s="9" t="s">
        <v>20</v>
      </c>
      <c r="B19" s="10">
        <v>-31250</v>
      </c>
      <c r="C19" s="10">
        <v>-12250</v>
      </c>
      <c r="D19" s="11">
        <f t="shared" si="0"/>
        <v>-1.6891891891891893E-2</v>
      </c>
      <c r="E19" s="12">
        <f t="shared" si="1"/>
        <v>1.5510204081632653</v>
      </c>
    </row>
    <row r="20" spans="1:5" x14ac:dyDescent="0.25">
      <c r="A20" s="17" t="s">
        <v>21</v>
      </c>
      <c r="B20" s="18">
        <f>B18+B19</f>
        <v>93750</v>
      </c>
      <c r="C20" s="18">
        <f>C18+C19</f>
        <v>36750</v>
      </c>
      <c r="D20" s="19">
        <f t="shared" si="0"/>
        <v>5.0675675675675678E-2</v>
      </c>
      <c r="E20" s="20">
        <f t="shared" si="1"/>
        <v>1.5510204081632653</v>
      </c>
    </row>
  </sheetData>
  <mergeCells count="4">
    <mergeCell ref="A2:E2"/>
    <mergeCell ref="A3:E3"/>
    <mergeCell ref="A4:E4"/>
    <mergeCell ref="A1:E1"/>
  </mergeCells>
  <pageMargins left="0.4" right="0.4" top="0.5" bottom="0.5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0"/>
  <sheetViews>
    <sheetView showGridLines="0" zoomScaleNormal="100" workbookViewId="0">
      <pane ySplit="5" topLeftCell="A6" activePane="bottomLeft" state="frozen"/>
      <selection pane="bottomLeft" sqref="A1:E1"/>
    </sheetView>
  </sheetViews>
  <sheetFormatPr baseColWidth="10" defaultColWidth="8.7109375" defaultRowHeight="15" x14ac:dyDescent="0.25"/>
  <cols>
    <col min="1" max="1" width="46" customWidth="1"/>
    <col min="2" max="3" width="15" customWidth="1"/>
    <col min="4" max="4" width="11" customWidth="1"/>
    <col min="5" max="5" width="10" customWidth="1"/>
  </cols>
  <sheetData>
    <row r="1" spans="1:5" ht="18" x14ac:dyDescent="0.25">
      <c r="A1" s="6" t="s">
        <v>0</v>
      </c>
      <c r="B1" s="6"/>
      <c r="C1" s="6"/>
      <c r="D1" s="6"/>
      <c r="E1" s="6"/>
    </row>
    <row r="2" spans="1:5" x14ac:dyDescent="0.25">
      <c r="A2" s="5" t="s">
        <v>22</v>
      </c>
      <c r="B2" s="5"/>
      <c r="C2" s="5"/>
      <c r="D2" s="5"/>
      <c r="E2" s="5"/>
    </row>
    <row r="3" spans="1:5" x14ac:dyDescent="0.25">
      <c r="A3" s="4" t="s">
        <v>23</v>
      </c>
      <c r="B3" s="4"/>
      <c r="C3" s="4"/>
      <c r="D3" s="4"/>
      <c r="E3" s="4"/>
    </row>
    <row r="5" spans="1:5" x14ac:dyDescent="0.25">
      <c r="A5" s="7" t="s">
        <v>3</v>
      </c>
      <c r="B5" s="8" t="s">
        <v>4</v>
      </c>
      <c r="C5" s="8" t="s">
        <v>5</v>
      </c>
      <c r="D5" s="8" t="s">
        <v>24</v>
      </c>
      <c r="E5" s="8" t="s">
        <v>7</v>
      </c>
    </row>
    <row r="6" spans="1:5" x14ac:dyDescent="0.25">
      <c r="A6" s="3" t="s">
        <v>25</v>
      </c>
      <c r="B6" s="3"/>
      <c r="C6" s="3"/>
      <c r="D6" s="3"/>
      <c r="E6" s="3"/>
    </row>
    <row r="7" spans="1:5" x14ac:dyDescent="0.25">
      <c r="A7" s="13" t="s">
        <v>26</v>
      </c>
      <c r="B7" s="14">
        <f>SUM(B8:B10)</f>
        <v>785000</v>
      </c>
      <c r="C7" s="14">
        <f>SUM(C8:C10)</f>
        <v>690000</v>
      </c>
      <c r="D7" s="15">
        <f t="shared" ref="D7:D16" si="0">IFERROR(B7/$B$16,"")</f>
        <v>0.57858853878754379</v>
      </c>
      <c r="E7" s="16">
        <f t="shared" ref="E7:E16" si="1">IFERROR(B7/C7-1,"")</f>
        <v>0.1376811594202898</v>
      </c>
    </row>
    <row r="8" spans="1:5" x14ac:dyDescent="0.25">
      <c r="A8" s="9" t="s">
        <v>27</v>
      </c>
      <c r="B8" s="10">
        <v>55000</v>
      </c>
      <c r="C8" s="10">
        <v>40000</v>
      </c>
      <c r="D8" s="11">
        <f t="shared" si="0"/>
        <v>4.0538050488299247E-2</v>
      </c>
      <c r="E8" s="12">
        <f t="shared" si="1"/>
        <v>0.375</v>
      </c>
    </row>
    <row r="9" spans="1:5" x14ac:dyDescent="0.25">
      <c r="A9" s="9" t="s">
        <v>28</v>
      </c>
      <c r="B9" s="10">
        <v>700000</v>
      </c>
      <c r="C9" s="10">
        <v>620000</v>
      </c>
      <c r="D9" s="11">
        <f t="shared" si="0"/>
        <v>0.51593882439653582</v>
      </c>
      <c r="E9" s="12">
        <f t="shared" si="1"/>
        <v>0.12903225806451624</v>
      </c>
    </row>
    <row r="10" spans="1:5" x14ac:dyDescent="0.25">
      <c r="A10" s="9" t="s">
        <v>29</v>
      </c>
      <c r="B10" s="10">
        <v>30000</v>
      </c>
      <c r="C10" s="10">
        <v>30000</v>
      </c>
      <c r="D10" s="11">
        <f t="shared" si="0"/>
        <v>2.2111663902708679E-2</v>
      </c>
      <c r="E10" s="12">
        <f t="shared" si="1"/>
        <v>0</v>
      </c>
    </row>
    <row r="11" spans="1:5" x14ac:dyDescent="0.25">
      <c r="A11" s="13" t="s">
        <v>30</v>
      </c>
      <c r="B11" s="14">
        <f>SUM(B12:B15)</f>
        <v>571750</v>
      </c>
      <c r="C11" s="14">
        <f>SUM(C12:C15)</f>
        <v>590000</v>
      </c>
      <c r="D11" s="15">
        <f t="shared" si="0"/>
        <v>0.42141146121245626</v>
      </c>
      <c r="E11" s="16">
        <f t="shared" si="1"/>
        <v>-3.0932203389830493E-2</v>
      </c>
    </row>
    <row r="12" spans="1:5" x14ac:dyDescent="0.25">
      <c r="A12" s="9" t="s">
        <v>31</v>
      </c>
      <c r="B12" s="10">
        <v>235000</v>
      </c>
      <c r="C12" s="10">
        <v>210000</v>
      </c>
      <c r="D12" s="11">
        <f t="shared" si="0"/>
        <v>0.17320803390455131</v>
      </c>
      <c r="E12" s="12">
        <f t="shared" si="1"/>
        <v>0.11904761904761907</v>
      </c>
    </row>
    <row r="13" spans="1:5" x14ac:dyDescent="0.25">
      <c r="A13" s="9" t="s">
        <v>32</v>
      </c>
      <c r="B13" s="10">
        <v>268000</v>
      </c>
      <c r="C13" s="10">
        <v>245000</v>
      </c>
      <c r="D13" s="11">
        <f t="shared" si="0"/>
        <v>0.19753086419753085</v>
      </c>
      <c r="E13" s="12">
        <f t="shared" si="1"/>
        <v>9.3877551020408179E-2</v>
      </c>
    </row>
    <row r="14" spans="1:5" x14ac:dyDescent="0.25">
      <c r="A14" s="9" t="s">
        <v>33</v>
      </c>
      <c r="B14" s="10">
        <v>10000</v>
      </c>
      <c r="C14" s="10">
        <v>15000</v>
      </c>
      <c r="D14" s="11">
        <f t="shared" si="0"/>
        <v>7.3705546342362266E-3</v>
      </c>
      <c r="E14" s="12">
        <f t="shared" si="1"/>
        <v>-0.33333333333333337</v>
      </c>
    </row>
    <row r="15" spans="1:5" x14ac:dyDescent="0.25">
      <c r="A15" s="9" t="s">
        <v>34</v>
      </c>
      <c r="B15" s="10">
        <v>58750</v>
      </c>
      <c r="C15" s="10">
        <v>120000</v>
      </c>
      <c r="D15" s="11">
        <f t="shared" si="0"/>
        <v>4.3302008476137827E-2</v>
      </c>
      <c r="E15" s="12">
        <f t="shared" si="1"/>
        <v>-0.51041666666666674</v>
      </c>
    </row>
    <row r="16" spans="1:5" x14ac:dyDescent="0.25">
      <c r="A16" s="21" t="s">
        <v>35</v>
      </c>
      <c r="B16" s="22">
        <f>B7+B11</f>
        <v>1356750</v>
      </c>
      <c r="C16" s="22">
        <f>C7+C11</f>
        <v>1280000</v>
      </c>
      <c r="D16" s="23">
        <f t="shared" si="0"/>
        <v>1</v>
      </c>
      <c r="E16" s="24">
        <f t="shared" si="1"/>
        <v>5.9960937500000089E-2</v>
      </c>
    </row>
    <row r="17" spans="1:5" x14ac:dyDescent="0.25">
      <c r="A17" s="3" t="s">
        <v>36</v>
      </c>
      <c r="B17" s="3"/>
      <c r="C17" s="3"/>
      <c r="D17" s="3"/>
      <c r="E17" s="3"/>
    </row>
    <row r="18" spans="1:5" x14ac:dyDescent="0.25">
      <c r="A18" s="13" t="s">
        <v>37</v>
      </c>
      <c r="B18" s="14">
        <f>SUM(B19:B21)</f>
        <v>660500</v>
      </c>
      <c r="C18" s="14">
        <f>SUM(C19:C21)</f>
        <v>586750</v>
      </c>
      <c r="D18" s="15">
        <f t="shared" ref="D18:D28" si="2">IFERROR(B18/$B$16,"")</f>
        <v>0.48682513359130275</v>
      </c>
      <c r="E18" s="16">
        <f t="shared" ref="E18:E28" si="3">IFERROR(B18/C18-1,"")</f>
        <v>0.12569237324243709</v>
      </c>
    </row>
    <row r="19" spans="1:5" x14ac:dyDescent="0.25">
      <c r="A19" s="9" t="s">
        <v>38</v>
      </c>
      <c r="B19" s="10">
        <v>300000</v>
      </c>
      <c r="C19" s="10">
        <v>300000</v>
      </c>
      <c r="D19" s="11">
        <f t="shared" si="2"/>
        <v>0.22111663902708678</v>
      </c>
      <c r="E19" s="12">
        <f t="shared" si="3"/>
        <v>0</v>
      </c>
    </row>
    <row r="20" spans="1:5" x14ac:dyDescent="0.25">
      <c r="A20" s="9" t="s">
        <v>39</v>
      </c>
      <c r="B20" s="10">
        <v>266750</v>
      </c>
      <c r="C20" s="10">
        <v>250000</v>
      </c>
      <c r="D20" s="11">
        <f t="shared" si="2"/>
        <v>0.19660954486825133</v>
      </c>
      <c r="E20" s="12">
        <f t="shared" si="3"/>
        <v>6.6999999999999948E-2</v>
      </c>
    </row>
    <row r="21" spans="1:5" x14ac:dyDescent="0.25">
      <c r="A21" s="9" t="s">
        <v>40</v>
      </c>
      <c r="B21" s="25">
        <f>Resultados!B20</f>
        <v>93750</v>
      </c>
      <c r="C21" s="25">
        <f>Resultados!C20</f>
        <v>36750</v>
      </c>
      <c r="D21" s="11">
        <f t="shared" si="2"/>
        <v>6.9098949695964626E-2</v>
      </c>
      <c r="E21" s="12">
        <f t="shared" si="3"/>
        <v>1.5510204081632653</v>
      </c>
    </row>
    <row r="22" spans="1:5" x14ac:dyDescent="0.25">
      <c r="A22" s="13" t="s">
        <v>41</v>
      </c>
      <c r="B22" s="14">
        <f>B23</f>
        <v>360000</v>
      </c>
      <c r="C22" s="14">
        <f>C23</f>
        <v>380000</v>
      </c>
      <c r="D22" s="15">
        <f t="shared" si="2"/>
        <v>0.26533996683250416</v>
      </c>
      <c r="E22" s="16">
        <f t="shared" si="3"/>
        <v>-5.2631578947368474E-2</v>
      </c>
    </row>
    <row r="23" spans="1:5" x14ac:dyDescent="0.25">
      <c r="A23" s="9" t="s">
        <v>42</v>
      </c>
      <c r="B23" s="10">
        <v>360000</v>
      </c>
      <c r="C23" s="10">
        <v>380000</v>
      </c>
      <c r="D23" s="11">
        <f t="shared" si="2"/>
        <v>0.26533996683250416</v>
      </c>
      <c r="E23" s="12">
        <f t="shared" si="3"/>
        <v>-5.2631578947368474E-2</v>
      </c>
    </row>
    <row r="24" spans="1:5" x14ac:dyDescent="0.25">
      <c r="A24" s="13" t="s">
        <v>43</v>
      </c>
      <c r="B24" s="14">
        <f>SUM(B25:B27)</f>
        <v>336250</v>
      </c>
      <c r="C24" s="14">
        <f>SUM(C25:C27)</f>
        <v>313250</v>
      </c>
      <c r="D24" s="15">
        <f t="shared" si="2"/>
        <v>0.24783489957619312</v>
      </c>
      <c r="E24" s="16">
        <f t="shared" si="3"/>
        <v>7.3423782920989611E-2</v>
      </c>
    </row>
    <row r="25" spans="1:5" x14ac:dyDescent="0.25">
      <c r="A25" s="9" t="s">
        <v>44</v>
      </c>
      <c r="B25" s="10">
        <v>100000</v>
      </c>
      <c r="C25" s="10">
        <v>95000</v>
      </c>
      <c r="D25" s="11">
        <f t="shared" si="2"/>
        <v>7.370554634236226E-2</v>
      </c>
      <c r="E25" s="12">
        <f t="shared" si="3"/>
        <v>5.2631578947368363E-2</v>
      </c>
    </row>
    <row r="26" spans="1:5" x14ac:dyDescent="0.25">
      <c r="A26" s="9" t="s">
        <v>45</v>
      </c>
      <c r="B26" s="10">
        <v>205000</v>
      </c>
      <c r="C26" s="10">
        <v>190000</v>
      </c>
      <c r="D26" s="11">
        <f t="shared" si="2"/>
        <v>0.15109637000184264</v>
      </c>
      <c r="E26" s="12">
        <f t="shared" si="3"/>
        <v>7.8947368421052655E-2</v>
      </c>
    </row>
    <row r="27" spans="1:5" x14ac:dyDescent="0.25">
      <c r="A27" s="9" t="s">
        <v>46</v>
      </c>
      <c r="B27" s="10">
        <v>31250</v>
      </c>
      <c r="C27" s="10">
        <v>28250</v>
      </c>
      <c r="D27" s="11">
        <f t="shared" si="2"/>
        <v>2.3032983231988206E-2</v>
      </c>
      <c r="E27" s="12">
        <f t="shared" si="3"/>
        <v>0.10619469026548667</v>
      </c>
    </row>
    <row r="28" spans="1:5" x14ac:dyDescent="0.25">
      <c r="A28" s="21" t="s">
        <v>47</v>
      </c>
      <c r="B28" s="22">
        <f>B18+B22+B24</f>
        <v>1356750</v>
      </c>
      <c r="C28" s="22">
        <f>C18+C22+C24</f>
        <v>1280000</v>
      </c>
      <c r="D28" s="23">
        <f t="shared" si="2"/>
        <v>1</v>
      </c>
      <c r="E28" s="24">
        <f t="shared" si="3"/>
        <v>5.9960937500000089E-2</v>
      </c>
    </row>
    <row r="30" spans="1:5" x14ac:dyDescent="0.25">
      <c r="A30" s="2" t="str">
        <f>IF(ABS(B16-B28)&lt;1,"✔ Balance cuadrado (Activo = Patrimonio neto + Pasivo)","✖ Descuadre de "&amp;TEXT(B16-B28,"#,##0")&amp;" € — revisa los importes")</f>
        <v>✔ Balance cuadrado (Activo = Patrimonio neto + Pasivo)</v>
      </c>
      <c r="B30" s="2"/>
      <c r="C30" s="2"/>
    </row>
  </sheetData>
  <mergeCells count="6">
    <mergeCell ref="A30:C30"/>
    <mergeCell ref="A1:E1"/>
    <mergeCell ref="A2:E2"/>
    <mergeCell ref="A3:E3"/>
    <mergeCell ref="A6:E6"/>
    <mergeCell ref="A17:E17"/>
  </mergeCells>
  <conditionalFormatting sqref="A30">
    <cfRule type="expression" dxfId="3" priority="2">
      <formula>ABS(B16-B28)&lt;1</formula>
    </cfRule>
    <cfRule type="expression" dxfId="2" priority="3">
      <formula>ABS(B16-B28)&gt;=1</formula>
    </cfRule>
  </conditionalFormatting>
  <pageMargins left="0.4" right="0.4" top="0.5" bottom="0.5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8"/>
  <sheetViews>
    <sheetView showGridLines="0" zoomScaleNormal="100" workbookViewId="0">
      <pane ySplit="5" topLeftCell="A6" activePane="bottomLeft" state="frozen"/>
      <selection pane="bottomLeft" sqref="A1:C1"/>
    </sheetView>
  </sheetViews>
  <sheetFormatPr baseColWidth="10" defaultColWidth="8.7109375" defaultRowHeight="15" x14ac:dyDescent="0.25"/>
  <cols>
    <col min="1" max="1" width="48" customWidth="1"/>
    <col min="2" max="2" width="15" customWidth="1"/>
    <col min="3" max="3" width="34" customWidth="1"/>
  </cols>
  <sheetData>
    <row r="1" spans="1:3" ht="18" x14ac:dyDescent="0.25">
      <c r="A1" s="6" t="s">
        <v>0</v>
      </c>
      <c r="B1" s="6"/>
      <c r="C1" s="6"/>
    </row>
    <row r="2" spans="1:3" x14ac:dyDescent="0.25">
      <c r="A2" s="5" t="s">
        <v>48</v>
      </c>
      <c r="B2" s="5"/>
      <c r="C2" s="5"/>
    </row>
    <row r="3" spans="1:3" x14ac:dyDescent="0.25">
      <c r="A3" s="4" t="s">
        <v>49</v>
      </c>
      <c r="B3" s="4"/>
      <c r="C3" s="4"/>
    </row>
    <row r="5" spans="1:3" x14ac:dyDescent="0.25">
      <c r="A5" s="7" t="s">
        <v>3</v>
      </c>
      <c r="B5" s="8" t="s">
        <v>50</v>
      </c>
      <c r="C5" s="7" t="s">
        <v>51</v>
      </c>
    </row>
    <row r="6" spans="1:3" x14ac:dyDescent="0.25">
      <c r="A6" s="3" t="s">
        <v>52</v>
      </c>
      <c r="B6" s="3"/>
      <c r="C6" s="3"/>
    </row>
    <row r="7" spans="1:3" x14ac:dyDescent="0.25">
      <c r="A7" s="9" t="s">
        <v>53</v>
      </c>
      <c r="B7" s="25">
        <f>Resultados!B18</f>
        <v>125000</v>
      </c>
      <c r="C7" s="26" t="s">
        <v>54</v>
      </c>
    </row>
    <row r="8" spans="1:3" x14ac:dyDescent="0.25">
      <c r="A8" s="1" t="s">
        <v>55</v>
      </c>
      <c r="B8" s="1"/>
      <c r="C8" s="1"/>
    </row>
    <row r="9" spans="1:3" x14ac:dyDescent="0.25">
      <c r="A9" s="9" t="s">
        <v>14</v>
      </c>
      <c r="B9" s="25">
        <f>-Resultados!B13</f>
        <v>95000</v>
      </c>
      <c r="C9" s="26" t="s">
        <v>56</v>
      </c>
    </row>
    <row r="10" spans="1:3" x14ac:dyDescent="0.25">
      <c r="A10" s="9" t="s">
        <v>17</v>
      </c>
      <c r="B10" s="25">
        <f>-Resultados!B16</f>
        <v>28000</v>
      </c>
      <c r="C10" s="26" t="s">
        <v>57</v>
      </c>
    </row>
    <row r="11" spans="1:3" x14ac:dyDescent="0.25">
      <c r="A11" s="9" t="s">
        <v>16</v>
      </c>
      <c r="B11" s="25">
        <f>-Resultados!B15</f>
        <v>-3000</v>
      </c>
      <c r="C11" s="26" t="s">
        <v>57</v>
      </c>
    </row>
    <row r="12" spans="1:3" x14ac:dyDescent="0.25">
      <c r="A12" s="13" t="s">
        <v>58</v>
      </c>
      <c r="B12" s="14">
        <f>B7+B9+B10+B11</f>
        <v>245000</v>
      </c>
      <c r="C12" s="26"/>
    </row>
    <row r="13" spans="1:3" x14ac:dyDescent="0.25">
      <c r="A13" s="1" t="s">
        <v>59</v>
      </c>
      <c r="B13" s="1"/>
      <c r="C13" s="1"/>
    </row>
    <row r="14" spans="1:3" x14ac:dyDescent="0.25">
      <c r="A14" s="9" t="s">
        <v>60</v>
      </c>
      <c r="B14" s="25">
        <f>Balance!C12-Balance!B12</f>
        <v>-25000</v>
      </c>
      <c r="C14" s="26" t="s">
        <v>61</v>
      </c>
    </row>
    <row r="15" spans="1:3" x14ac:dyDescent="0.25">
      <c r="A15" s="9" t="s">
        <v>62</v>
      </c>
      <c r="B15" s="25">
        <f>Balance!C13-Balance!B13</f>
        <v>-23000</v>
      </c>
      <c r="C15" s="26" t="s">
        <v>63</v>
      </c>
    </row>
    <row r="16" spans="1:3" x14ac:dyDescent="0.25">
      <c r="A16" s="9" t="s">
        <v>64</v>
      </c>
      <c r="B16" s="25">
        <f>Balance!B26-Balance!C26</f>
        <v>15000</v>
      </c>
      <c r="C16" s="26" t="s">
        <v>65</v>
      </c>
    </row>
    <row r="17" spans="1:3" x14ac:dyDescent="0.25">
      <c r="A17" s="13" t="s">
        <v>66</v>
      </c>
      <c r="B17" s="14">
        <f>B14+B15+B16</f>
        <v>-33000</v>
      </c>
      <c r="C17" s="26"/>
    </row>
    <row r="18" spans="1:3" x14ac:dyDescent="0.25">
      <c r="A18" s="1" t="s">
        <v>67</v>
      </c>
      <c r="B18" s="1"/>
      <c r="C18" s="1"/>
    </row>
    <row r="19" spans="1:3" x14ac:dyDescent="0.25">
      <c r="A19" s="9" t="s">
        <v>68</v>
      </c>
      <c r="B19" s="25">
        <f>Resultados!B16</f>
        <v>-28000</v>
      </c>
      <c r="C19" s="26" t="s">
        <v>69</v>
      </c>
    </row>
    <row r="20" spans="1:3" x14ac:dyDescent="0.25">
      <c r="A20" s="9" t="s">
        <v>70</v>
      </c>
      <c r="B20" s="25">
        <f>Resultados!B15</f>
        <v>3000</v>
      </c>
      <c r="C20" s="26" t="s">
        <v>69</v>
      </c>
    </row>
    <row r="21" spans="1:3" x14ac:dyDescent="0.25">
      <c r="A21" s="9" t="s">
        <v>71</v>
      </c>
      <c r="B21" s="25">
        <f>Resultados!B19+(Balance!B27-Balance!C27)</f>
        <v>-28250</v>
      </c>
      <c r="C21" s="26" t="s">
        <v>72</v>
      </c>
    </row>
    <row r="22" spans="1:3" x14ac:dyDescent="0.25">
      <c r="A22" s="21" t="s">
        <v>73</v>
      </c>
      <c r="B22" s="22">
        <f>B12+B17+B19+B20+B21</f>
        <v>158750</v>
      </c>
      <c r="C22" s="26"/>
    </row>
    <row r="23" spans="1:3" x14ac:dyDescent="0.25">
      <c r="A23" s="3" t="s">
        <v>74</v>
      </c>
      <c r="B23" s="3"/>
      <c r="C23" s="3"/>
    </row>
    <row r="24" spans="1:3" x14ac:dyDescent="0.25">
      <c r="A24" s="9" t="s">
        <v>75</v>
      </c>
      <c r="B24" s="25">
        <f>-((Balance!B8+Balance!B9)-(Balance!C8+Balance!C9)-Resultados!B13)</f>
        <v>-190000</v>
      </c>
      <c r="C24" s="26" t="s">
        <v>76</v>
      </c>
    </row>
    <row r="25" spans="1:3" x14ac:dyDescent="0.25">
      <c r="A25" s="9" t="s">
        <v>77</v>
      </c>
      <c r="B25" s="25">
        <f>Balance!C14-Balance!B14</f>
        <v>5000</v>
      </c>
      <c r="C25" s="26" t="s">
        <v>63</v>
      </c>
    </row>
    <row r="26" spans="1:3" x14ac:dyDescent="0.25">
      <c r="A26" s="21" t="s">
        <v>78</v>
      </c>
      <c r="B26" s="22">
        <f>B24+B25</f>
        <v>-185000</v>
      </c>
      <c r="C26" s="26"/>
    </row>
    <row r="27" spans="1:3" x14ac:dyDescent="0.25">
      <c r="A27" s="3" t="s">
        <v>79</v>
      </c>
      <c r="B27" s="3"/>
      <c r="C27" s="3"/>
    </row>
    <row r="28" spans="1:3" x14ac:dyDescent="0.25">
      <c r="A28" s="9" t="s">
        <v>80</v>
      </c>
      <c r="B28" s="25">
        <f>Balance!B23-Balance!C23</f>
        <v>-20000</v>
      </c>
      <c r="C28" s="26" t="s">
        <v>63</v>
      </c>
    </row>
    <row r="29" spans="1:3" x14ac:dyDescent="0.25">
      <c r="A29" s="9" t="s">
        <v>81</v>
      </c>
      <c r="B29" s="25">
        <f>Balance!B25-Balance!C25</f>
        <v>5000</v>
      </c>
      <c r="C29" s="26" t="s">
        <v>63</v>
      </c>
    </row>
    <row r="30" spans="1:3" x14ac:dyDescent="0.25">
      <c r="A30" s="9" t="s">
        <v>82</v>
      </c>
      <c r="B30" s="25">
        <f>-(Balance!C20+Resultados!C20-Balance!B20)</f>
        <v>-20000</v>
      </c>
      <c r="C30" s="26" t="s">
        <v>83</v>
      </c>
    </row>
    <row r="31" spans="1:3" x14ac:dyDescent="0.25">
      <c r="A31" s="21" t="s">
        <v>84</v>
      </c>
      <c r="B31" s="22">
        <f>B28+B29+B30</f>
        <v>-35000</v>
      </c>
      <c r="C31" s="26"/>
    </row>
    <row r="33" spans="1:3" x14ac:dyDescent="0.25">
      <c r="A33" s="21" t="s">
        <v>85</v>
      </c>
      <c r="B33" s="22">
        <f>B22+B26+B31</f>
        <v>-61250</v>
      </c>
      <c r="C33" s="26"/>
    </row>
    <row r="34" spans="1:3" x14ac:dyDescent="0.25">
      <c r="A34" s="9" t="s">
        <v>86</v>
      </c>
      <c r="B34" s="25">
        <f>Balance!C15</f>
        <v>120000</v>
      </c>
      <c r="C34" s="26" t="s">
        <v>87</v>
      </c>
    </row>
    <row r="35" spans="1:3" x14ac:dyDescent="0.25">
      <c r="A35" s="13" t="s">
        <v>88</v>
      </c>
      <c r="B35" s="14">
        <f>B34+B33</f>
        <v>58750</v>
      </c>
      <c r="C35" s="26"/>
    </row>
    <row r="36" spans="1:3" x14ac:dyDescent="0.25">
      <c r="A36" s="9" t="s">
        <v>89</v>
      </c>
      <c r="B36" s="25">
        <f>Balance!B15</f>
        <v>58750</v>
      </c>
      <c r="C36" s="26" t="s">
        <v>90</v>
      </c>
    </row>
    <row r="38" spans="1:3" x14ac:dyDescent="0.25">
      <c r="A38" s="2" t="str">
        <f>IF(ABS(B35-B36)&lt;1,"✔ El flujo de efectivo concilia con el Balance","✖ Diferencia de "&amp;TEXT(B35-B36,"#,##0")&amp;" €")</f>
        <v>✔ El flujo de efectivo concilia con el Balance</v>
      </c>
      <c r="B38" s="2"/>
      <c r="C38" s="2"/>
    </row>
  </sheetData>
  <mergeCells count="10">
    <mergeCell ref="A13:C13"/>
    <mergeCell ref="A18:C18"/>
    <mergeCell ref="A23:C23"/>
    <mergeCell ref="A27:C27"/>
    <mergeCell ref="A38:C38"/>
    <mergeCell ref="A1:C1"/>
    <mergeCell ref="A2:C2"/>
    <mergeCell ref="A3:C3"/>
    <mergeCell ref="A6:C6"/>
    <mergeCell ref="A8:C8"/>
  </mergeCells>
  <conditionalFormatting sqref="A38">
    <cfRule type="expression" dxfId="1" priority="2">
      <formula>ABS(B35-B36)&lt;1</formula>
    </cfRule>
    <cfRule type="expression" dxfId="0" priority="3">
      <formula>ABS(B35-B36)&gt;=1</formula>
    </cfRule>
  </conditionalFormatting>
  <pageMargins left="0.4" right="0.4" top="0.5" bottom="0.5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2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32" customWidth="1"/>
    <col min="2" max="3" width="12" customWidth="1"/>
    <col min="4" max="4" width="40" customWidth="1"/>
    <col min="5" max="5" width="28" customWidth="1"/>
  </cols>
  <sheetData>
    <row r="1" spans="1:5" ht="18" x14ac:dyDescent="0.25">
      <c r="A1" s="6" t="s">
        <v>0</v>
      </c>
      <c r="B1" s="6"/>
      <c r="C1" s="6"/>
      <c r="D1" s="6"/>
      <c r="E1" s="6"/>
    </row>
    <row r="2" spans="1:5" x14ac:dyDescent="0.25">
      <c r="A2" s="5" t="s">
        <v>91</v>
      </c>
      <c r="B2" s="5"/>
      <c r="C2" s="5"/>
      <c r="D2" s="5"/>
      <c r="E2" s="5"/>
    </row>
    <row r="3" spans="1:5" x14ac:dyDescent="0.25">
      <c r="A3" s="4" t="s">
        <v>92</v>
      </c>
      <c r="B3" s="4"/>
      <c r="C3" s="4"/>
      <c r="D3" s="4"/>
      <c r="E3" s="4"/>
    </row>
    <row r="5" spans="1:5" x14ac:dyDescent="0.25">
      <c r="A5" s="7" t="s">
        <v>93</v>
      </c>
      <c r="B5" s="8" t="s">
        <v>4</v>
      </c>
      <c r="C5" s="8" t="s">
        <v>5</v>
      </c>
      <c r="D5" s="7" t="s">
        <v>94</v>
      </c>
      <c r="E5" s="7" t="s">
        <v>95</v>
      </c>
    </row>
    <row r="6" spans="1:5" x14ac:dyDescent="0.25">
      <c r="A6" s="3" t="s">
        <v>96</v>
      </c>
      <c r="B6" s="3"/>
      <c r="C6" s="3"/>
      <c r="D6" s="3"/>
      <c r="E6" s="3"/>
    </row>
    <row r="7" spans="1:5" x14ac:dyDescent="0.25">
      <c r="A7" s="9" t="s">
        <v>97</v>
      </c>
      <c r="B7" s="27">
        <f>Balance!B11/Balance!B24</f>
        <v>1.700371747211896</v>
      </c>
      <c r="C7" s="28">
        <f>Balance!C11/Balance!C24</f>
        <v>1.8834796488427774</v>
      </c>
      <c r="D7" s="26" t="s">
        <v>98</v>
      </c>
      <c r="E7" s="29" t="s">
        <v>99</v>
      </c>
    </row>
    <row r="8" spans="1:5" x14ac:dyDescent="0.25">
      <c r="A8" s="9" t="s">
        <v>100</v>
      </c>
      <c r="B8" s="27">
        <f>(Balance!B11-Balance!B12)/Balance!B24</f>
        <v>1.0014869888475837</v>
      </c>
      <c r="C8" s="28">
        <f>(Balance!C11-Balance!C12)/Balance!C24</f>
        <v>1.2130885873902633</v>
      </c>
      <c r="D8" s="26" t="s">
        <v>101</v>
      </c>
      <c r="E8" s="29" t="s">
        <v>102</v>
      </c>
    </row>
    <row r="9" spans="1:5" x14ac:dyDescent="0.25">
      <c r="A9" s="9" t="s">
        <v>103</v>
      </c>
      <c r="B9" s="27">
        <f>Balance!B15/Balance!B24</f>
        <v>0.17472118959107807</v>
      </c>
      <c r="C9" s="28">
        <f>Balance!C15/Balance!C24</f>
        <v>0.38308060654429371</v>
      </c>
      <c r="D9" s="26" t="s">
        <v>104</v>
      </c>
      <c r="E9" s="29" t="s">
        <v>105</v>
      </c>
    </row>
    <row r="10" spans="1:5" x14ac:dyDescent="0.25">
      <c r="A10" s="3" t="s">
        <v>106</v>
      </c>
      <c r="B10" s="3"/>
      <c r="C10" s="3"/>
      <c r="D10" s="3"/>
      <c r="E10" s="3"/>
    </row>
    <row r="11" spans="1:5" x14ac:dyDescent="0.25">
      <c r="A11" s="9" t="s">
        <v>107</v>
      </c>
      <c r="B11" s="30">
        <f>(Balance!B22+Balance!B24)/Balance!B28</f>
        <v>0.51317486640869725</v>
      </c>
      <c r="C11" s="31">
        <f>(Balance!C22+Balance!C24)/Balance!C28</f>
        <v>0.54160156250000002</v>
      </c>
      <c r="D11" s="26" t="s">
        <v>108</v>
      </c>
      <c r="E11" s="29" t="s">
        <v>109</v>
      </c>
    </row>
    <row r="12" spans="1:5" x14ac:dyDescent="0.25">
      <c r="A12" s="9" t="s">
        <v>110</v>
      </c>
      <c r="B12" s="30">
        <f>Balance!B18/Balance!B28</f>
        <v>0.48682513359130275</v>
      </c>
      <c r="C12" s="31">
        <f>Balance!C18/Balance!C28</f>
        <v>0.45839843749999998</v>
      </c>
      <c r="D12" s="26" t="s">
        <v>111</v>
      </c>
      <c r="E12" s="29" t="s">
        <v>112</v>
      </c>
    </row>
    <row r="13" spans="1:5" x14ac:dyDescent="0.25">
      <c r="A13" s="9" t="s">
        <v>113</v>
      </c>
      <c r="B13" s="27">
        <f>Balance!B16/(Balance!B22+Balance!B24)</f>
        <v>1.948653500897666</v>
      </c>
      <c r="C13" s="28">
        <f>Balance!C16/(Balance!C22+Balance!C24)</f>
        <v>1.8463757663180671</v>
      </c>
      <c r="D13" s="26" t="s">
        <v>114</v>
      </c>
      <c r="E13" s="29" t="s">
        <v>115</v>
      </c>
    </row>
    <row r="14" spans="1:5" x14ac:dyDescent="0.25">
      <c r="A14" s="3" t="s">
        <v>116</v>
      </c>
      <c r="B14" s="3"/>
      <c r="C14" s="3"/>
      <c r="D14" s="3"/>
      <c r="E14" s="3"/>
    </row>
    <row r="15" spans="1:5" x14ac:dyDescent="0.25">
      <c r="A15" s="9" t="s">
        <v>117</v>
      </c>
      <c r="B15" s="30">
        <f>Resultados!B20/Resultados!B7</f>
        <v>5.0675675675675678E-2</v>
      </c>
      <c r="C15" s="31">
        <f>Resultados!C20/Resultados!C7</f>
        <v>2.2685185185185187E-2</v>
      </c>
      <c r="D15" s="26" t="s">
        <v>118</v>
      </c>
      <c r="E15" s="29" t="s">
        <v>119</v>
      </c>
    </row>
    <row r="16" spans="1:5" x14ac:dyDescent="0.25">
      <c r="A16" s="9" t="s">
        <v>120</v>
      </c>
      <c r="B16" s="30">
        <f>Resultados!B14/Resultados!B7</f>
        <v>8.1081081081081086E-2</v>
      </c>
      <c r="C16" s="31">
        <f>Resultados!C14/Resultados!C7</f>
        <v>4.7530864197530866E-2</v>
      </c>
      <c r="D16" s="26" t="s">
        <v>121</v>
      </c>
      <c r="E16" s="29" t="s">
        <v>119</v>
      </c>
    </row>
    <row r="17" spans="1:5" x14ac:dyDescent="0.25">
      <c r="A17" s="9" t="s">
        <v>122</v>
      </c>
      <c r="B17" s="30">
        <f>Resultados!B14/Balance!B16</f>
        <v>0.11055831951354339</v>
      </c>
      <c r="C17" s="31">
        <f>Resultados!C14/Balance!C16</f>
        <v>6.0156250000000001E-2</v>
      </c>
      <c r="D17" s="26" t="s">
        <v>123</v>
      </c>
      <c r="E17" s="29" t="s">
        <v>124</v>
      </c>
    </row>
    <row r="18" spans="1:5" x14ac:dyDescent="0.25">
      <c r="A18" s="9" t="s">
        <v>125</v>
      </c>
      <c r="B18" s="30">
        <f>Resultados!B20/Balance!B18</f>
        <v>0.14193792581377745</v>
      </c>
      <c r="C18" s="31">
        <f>Resultados!C20/Balance!C18</f>
        <v>6.2633148700468683E-2</v>
      </c>
      <c r="D18" s="26" t="s">
        <v>126</v>
      </c>
      <c r="E18" s="29" t="s">
        <v>127</v>
      </c>
    </row>
    <row r="19" spans="1:5" x14ac:dyDescent="0.25">
      <c r="A19" s="3" t="s">
        <v>128</v>
      </c>
      <c r="B19" s="3"/>
      <c r="C19" s="3"/>
      <c r="D19" s="3"/>
      <c r="E19" s="3"/>
    </row>
    <row r="20" spans="1:5" x14ac:dyDescent="0.25">
      <c r="A20" s="9" t="s">
        <v>129</v>
      </c>
      <c r="B20" s="32">
        <f>Balance!B13/Resultados!B7*365</f>
        <v>52.875675675675673</v>
      </c>
      <c r="C20" s="33">
        <f>Balance!C13/Resultados!C7*365</f>
        <v>55.200617283950621</v>
      </c>
      <c r="D20" s="26" t="s">
        <v>130</v>
      </c>
      <c r="E20" s="29" t="s">
        <v>131</v>
      </c>
    </row>
    <row r="21" spans="1:5" x14ac:dyDescent="0.25">
      <c r="A21" s="9" t="s">
        <v>132</v>
      </c>
      <c r="B21" s="32">
        <f>Balance!B26/-Resultados!B8*365</f>
        <v>73.357843137254903</v>
      </c>
      <c r="C21" s="33">
        <f>Balance!C26/-Resultados!C8*365</f>
        <v>76.208791208791212</v>
      </c>
      <c r="D21" s="26" t="s">
        <v>133</v>
      </c>
      <c r="E21" s="29" t="s">
        <v>134</v>
      </c>
    </row>
    <row r="22" spans="1:5" x14ac:dyDescent="0.25">
      <c r="A22" s="9" t="s">
        <v>135</v>
      </c>
      <c r="B22" s="27">
        <f>-Resultados!B8/Balance!B12</f>
        <v>4.3404255319148932</v>
      </c>
      <c r="C22" s="28">
        <f>-Resultados!C8/Balance!C12</f>
        <v>4.333333333333333</v>
      </c>
      <c r="D22" s="26" t="s">
        <v>136</v>
      </c>
      <c r="E22" s="29" t="s">
        <v>119</v>
      </c>
    </row>
  </sheetData>
  <mergeCells count="7">
    <mergeCell ref="A14:E14"/>
    <mergeCell ref="A19:E19"/>
    <mergeCell ref="A1:E1"/>
    <mergeCell ref="A2:E2"/>
    <mergeCell ref="A3:E3"/>
    <mergeCell ref="A6:E6"/>
    <mergeCell ref="A10:E10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Resultados</vt:lpstr>
      <vt:lpstr>Balance</vt:lpstr>
      <vt:lpstr>Flujos</vt:lpstr>
      <vt:lpstr>Ratios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2026-08-25T05:07:34Z</dcterms:created>
  <dcterms:modified xsi:type="dcterms:W3CDTF">2026-08-25T07:11:21Z</dcterms:modified>
  <dc:language>en-US</dc:language>
</cp:coreProperties>
</file>