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nel" sheetId="1" state="visible" r:id="rId3"/>
    <sheet name="Balance" sheetId="2" state="visible" r:id="rId4"/>
    <sheet name="Resultados" sheetId="3" state="visible" r:id="rId5"/>
    <sheet name="Flujos de Efectivo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<sst xmlns="http://schemas.openxmlformats.org/spreadsheetml/2006/main" count="156" uniqueCount="149">
  <si>
    <t xml:space="preserve">PANEL DE ESTADOS FINANCIEROS</t>
  </si>
  <si>
    <t xml:space="preserve">Distribuciones Montearena, S.L.</t>
  </si>
  <si>
    <t xml:space="preserve">CIF:</t>
  </si>
  <si>
    <t xml:space="preserve">B-84726519</t>
  </si>
  <si>
    <t xml:space="preserve">RATIOS FINANCIEROS CLAVE</t>
  </si>
  <si>
    <t xml:space="preserve">Domicilio:</t>
  </si>
  <si>
    <t xml:space="preserve">C/ del Comercio 24 · 41010 Sevilla</t>
  </si>
  <si>
    <t xml:space="preserve">Ratio</t>
  </si>
  <si>
    <t xml:space="preserve">Lectura</t>
  </si>
  <si>
    <t xml:space="preserve">Sector:</t>
  </si>
  <si>
    <t xml:space="preserve">Comercio al por mayor de mobiliario y equipamiento</t>
  </si>
  <si>
    <t xml:space="preserve">Liquidez</t>
  </si>
  <si>
    <t xml:space="preserve">Moneda:</t>
  </si>
  <si>
    <t xml:space="preserve">Euro (€)</t>
  </si>
  <si>
    <t xml:space="preserve">Liquidez (ratio corriente)</t>
  </si>
  <si>
    <t xml:space="preserve">Activo corriente ÷ pasivo corriente. Cómodo por encima de 1,5.</t>
  </si>
  <si>
    <t xml:space="preserve">Ejercicio actual:</t>
  </si>
  <si>
    <t xml:space="preserve">2025  (comparativo 2024)</t>
  </si>
  <si>
    <t xml:space="preserve">Prueba ácida (test rápido)</t>
  </si>
  <si>
    <t xml:space="preserve">Sin existencias. Deseable cerca o por encima de 1.</t>
  </si>
  <si>
    <t xml:space="preserve">Preparado por:</t>
  </si>
  <si>
    <t xml:space="preserve">Departamento de Administración</t>
  </si>
  <si>
    <t xml:space="preserve">Capital circulante</t>
  </si>
  <si>
    <t xml:space="preserve">Fondo de maniobra. Positivo = holgura a corto plazo.</t>
  </si>
  <si>
    <t xml:space="preserve">Solvencia y endeudamiento</t>
  </si>
  <si>
    <t xml:space="preserve">RESUMEN DEL EJERCICIO 2025</t>
  </si>
  <si>
    <t xml:space="preserve">Endeudamiento</t>
  </si>
  <si>
    <t xml:space="preserve">Deuda total ÷ activo total. Prudente por debajo del 60%.</t>
  </si>
  <si>
    <t xml:space="preserve">Magnitud</t>
  </si>
  <si>
    <t xml:space="preserve">Autonomía financiera</t>
  </si>
  <si>
    <t xml:space="preserve">Patrimonio neto ÷ activo total. Mayor = más independencia.</t>
  </si>
  <si>
    <t xml:space="preserve">Cifra de negocios</t>
  </si>
  <si>
    <t xml:space="preserve">Cobertura de intereses</t>
  </si>
  <si>
    <t xml:space="preserve">EBIT ÷ gastos financieros. Veces que el beneficio cubre los intereses.</t>
  </si>
  <si>
    <t xml:space="preserve">EBITDA</t>
  </si>
  <si>
    <t xml:space="preserve">Rentabilidad</t>
  </si>
  <si>
    <t xml:space="preserve">Resultado del ejercicio</t>
  </si>
  <si>
    <t xml:space="preserve">Margen bruto</t>
  </si>
  <si>
    <t xml:space="preserve">Margen bruto ÷ ventas.</t>
  </si>
  <si>
    <t xml:space="preserve">Total activo</t>
  </si>
  <si>
    <t xml:space="preserve">Margen de explotación</t>
  </si>
  <si>
    <t xml:space="preserve">EBIT ÷ ventas.</t>
  </si>
  <si>
    <t xml:space="preserve">Patrimonio neto</t>
  </si>
  <si>
    <t xml:space="preserve">Margen neto</t>
  </si>
  <si>
    <t xml:space="preserve">Resultado ÷ ventas.</t>
  </si>
  <si>
    <t xml:space="preserve">Tesorería (efectivo)</t>
  </si>
  <si>
    <t xml:space="preserve">ROA (rentab. del activo)</t>
  </si>
  <si>
    <t xml:space="preserve">Resultado ÷ activo total.</t>
  </si>
  <si>
    <t xml:space="preserve">ROE (rentab. fondos propios)</t>
  </si>
  <si>
    <t xml:space="preserve">Resultado ÷ patrimonio neto.</t>
  </si>
  <si>
    <t xml:space="preserve">CÓMO USAR LA PLANTILLA</t>
  </si>
  <si>
    <t xml:space="preserve">1.</t>
  </si>
  <si>
    <t xml:space="preserve">Edita solo las celdas en AZUL de las hojas «Balance» y «Resultados»: son las cifras de tus cuentas.</t>
  </si>
  <si>
    <t xml:space="preserve">2.</t>
  </si>
  <si>
    <t xml:space="preserve">Los TOTALES, subtotales y variaciones (en negro) se calculan solos. No los sobrescribas.</t>
  </si>
  <si>
    <t xml:space="preserve">3.</t>
  </si>
  <si>
    <t xml:space="preserve">«Flujos de Efectivo» (en verde) se genera automáticamente desde el Balance y Resultados.</t>
  </si>
  <si>
    <t xml:space="preserve">4.</t>
  </si>
  <si>
    <t xml:space="preserve">Comprueba en el Balance que aparece «✔ El balance cuadra».</t>
  </si>
  <si>
    <t xml:space="preserve">5.</t>
  </si>
  <si>
    <t xml:space="preserve">Este Panel y todos los ratios se actualizan al instante al cambiar cualquier dato.</t>
  </si>
  <si>
    <t xml:space="preserve">Leyenda:</t>
  </si>
  <si>
    <t xml:space="preserve">■</t>
  </si>
  <si>
    <t xml:space="preserve">Celdas editables (introduce tus datos)</t>
  </si>
  <si>
    <t xml:space="preserve">Fórmulas y totales (no editar)</t>
  </si>
  <si>
    <t xml:space="preserve">Enlaces automáticos entre hojas</t>
  </si>
  <si>
    <t xml:space="preserve">BALANCE DE SITUACIÓN</t>
  </si>
  <si>
    <t xml:space="preserve">Distribuciones Montearena, S.L.  ·  A 31 de diciembre  ·  Importes en Euro (€)</t>
  </si>
  <si>
    <t xml:space="preserve">Concepto</t>
  </si>
  <si>
    <t xml:space="preserve">2025</t>
  </si>
  <si>
    <t xml:space="preserve">2024</t>
  </si>
  <si>
    <t xml:space="preserve">Variación €</t>
  </si>
  <si>
    <t xml:space="preserve">Var. %</t>
  </si>
  <si>
    <t xml:space="preserve">% s/ total</t>
  </si>
  <si>
    <t xml:space="preserve">ACTIVO</t>
  </si>
  <si>
    <t xml:space="preserve">A) ACTIVO NO CORRIENTE</t>
  </si>
  <si>
    <t xml:space="preserve">   Inmovilizado intangible</t>
  </si>
  <si>
    <t xml:space="preserve">   Inmovilizado material</t>
  </si>
  <si>
    <t xml:space="preserve">   Inversiones financieras a largo plazo</t>
  </si>
  <si>
    <t xml:space="preserve">Total activo no corriente</t>
  </si>
  <si>
    <t xml:space="preserve">B) ACTIVO CORRIENTE</t>
  </si>
  <si>
    <t xml:space="preserve">   Existencias</t>
  </si>
  <si>
    <t xml:space="preserve">   Deudores comerciales (clientes)</t>
  </si>
  <si>
    <t xml:space="preserve">   Inversiones financieras a corto plazo</t>
  </si>
  <si>
    <t xml:space="preserve">   Efectivo y otros activos líquidos</t>
  </si>
  <si>
    <t xml:space="preserve">Total activo corriente</t>
  </si>
  <si>
    <t xml:space="preserve">TOTAL ACTIVO</t>
  </si>
  <si>
    <t xml:space="preserve">PATRIMONIO NETO Y PASIVO</t>
  </si>
  <si>
    <t xml:space="preserve">A) PATRIMONIO NETO</t>
  </si>
  <si>
    <t xml:space="preserve">   Capital social</t>
  </si>
  <si>
    <t xml:space="preserve">   Reservas</t>
  </si>
  <si>
    <t xml:space="preserve">   Resultado del ejercicio</t>
  </si>
  <si>
    <t xml:space="preserve">Total patrimonio neto</t>
  </si>
  <si>
    <t xml:space="preserve">B) PASIVO NO CORRIENTE</t>
  </si>
  <si>
    <t xml:space="preserve">   Deudas a largo plazo</t>
  </si>
  <si>
    <t xml:space="preserve">Total pasivo no corriente</t>
  </si>
  <si>
    <t xml:space="preserve">C) PASIVO CORRIENTE</t>
  </si>
  <si>
    <t xml:space="preserve">   Deudas a corto plazo</t>
  </si>
  <si>
    <t xml:space="preserve">   Acreedores comerciales (proveedores)</t>
  </si>
  <si>
    <t xml:space="preserve">Total pasivo corriente</t>
  </si>
  <si>
    <t xml:space="preserve">TOTAL PATRIMONIO NETO Y PASIVO</t>
  </si>
  <si>
    <t xml:space="preserve">Comprobación (Activo − Patrimonio neto y pasivo):</t>
  </si>
  <si>
    <t xml:space="preserve">CUENTA DE PÉRDIDAS Y GANANCIAS</t>
  </si>
  <si>
    <t xml:space="preserve">Distribuciones Montearena, S.L.  ·  CIF B-84726519  ·  Importes en Euro (€)</t>
  </si>
  <si>
    <t xml:space="preserve">Ejercicio 2025</t>
  </si>
  <si>
    <t xml:space="preserve">Ejercicio 2024</t>
  </si>
  <si>
    <t xml:space="preserve">% s/ ventas</t>
  </si>
  <si>
    <t xml:space="preserve">   Importe neto de la cifra de negocios</t>
  </si>
  <si>
    <t xml:space="preserve">   Aprovisionamientos (coste de ventas)</t>
  </si>
  <si>
    <t xml:space="preserve">MARGEN BRUTO</t>
  </si>
  <si>
    <t xml:space="preserve">   Otros ingresos de explotación</t>
  </si>
  <si>
    <t xml:space="preserve">   Gastos de personal</t>
  </si>
  <si>
    <t xml:space="preserve">   Otros gastos de explotación</t>
  </si>
  <si>
    <t xml:space="preserve">RESULTADO BRUTO DE EXPLOTACIÓN (EBITDA)</t>
  </si>
  <si>
    <t xml:space="preserve">   Amortización del inmovilizado</t>
  </si>
  <si>
    <t xml:space="preserve">RESULTADO DE EXPLOTACIÓN (EBIT)</t>
  </si>
  <si>
    <t xml:space="preserve">   Ingresos financieros</t>
  </si>
  <si>
    <t xml:space="preserve">   Gastos financieros</t>
  </si>
  <si>
    <t xml:space="preserve">RESULTADO ANTES DE IMPUESTOS</t>
  </si>
  <si>
    <t xml:space="preserve">   Impuesto sobre beneficios</t>
  </si>
  <si>
    <t xml:space="preserve">RESULTADO DEL EJERCICIO</t>
  </si>
  <si>
    <t xml:space="preserve">ESTADO DE FLUJOS DE EFECTIVO</t>
  </si>
  <si>
    <t xml:space="preserve">Distribuciones Montearena, S.L.  ·  Método indirecto  ·  Ejercicio 2025  ·  Euro (€)</t>
  </si>
  <si>
    <t xml:space="preserve">Se calcula automáticamente a partir de las hojas Balance y Resultados.</t>
  </si>
  <si>
    <t xml:space="preserve">A) FLUJOS DE EFECTIVO DE LAS ACTIVIDADES DE EXPLOTACIÓN</t>
  </si>
  <si>
    <t xml:space="preserve">   Resultado antes de impuestos</t>
  </si>
  <si>
    <t xml:space="preserve">   Ajuste: amortización del inmovilizado</t>
  </si>
  <si>
    <t xml:space="preserve">   Ajuste: gastos financieros</t>
  </si>
  <si>
    <t xml:space="preserve">   Ajuste: ingresos financieros</t>
  </si>
  <si>
    <t xml:space="preserve">Resultado ajustado</t>
  </si>
  <si>
    <t xml:space="preserve">   Variación de existencias</t>
  </si>
  <si>
    <t xml:space="preserve">   Variación de deudores comerciales</t>
  </si>
  <si>
    <t xml:space="preserve">   Variación de acreedores comerciales</t>
  </si>
  <si>
    <t xml:space="preserve">   Pagos de intereses</t>
  </si>
  <si>
    <t xml:space="preserve">   Cobros de intereses</t>
  </si>
  <si>
    <t xml:space="preserve">   Pagos por impuesto sobre beneficios</t>
  </si>
  <si>
    <t xml:space="preserve">(1) Flujos de efectivo de las actividades de explotación</t>
  </si>
  <si>
    <t xml:space="preserve">B) FLUJOS DE EFECTIVO DE LAS ACTIVIDADES DE INVERSIÓN</t>
  </si>
  <si>
    <t xml:space="preserve">   Pagos por inversiones en inmovilizado</t>
  </si>
  <si>
    <t xml:space="preserve">   Pagos por inversiones financieras</t>
  </si>
  <si>
    <t xml:space="preserve">(2) Flujos de efectivo de las actividades de inversión</t>
  </si>
  <si>
    <t xml:space="preserve">C) FLUJOS DE EFECTIVO DE LAS ACTIVIDADES DE FINANCIACIÓN</t>
  </si>
  <si>
    <t xml:space="preserve">   Variación de deudas con entidades de crédito</t>
  </si>
  <si>
    <t xml:space="preserve">   Pagos de dividendos</t>
  </si>
  <si>
    <t xml:space="preserve">(3) Flujos de efectivo de las actividades de financiación</t>
  </si>
  <si>
    <t xml:space="preserve">AUMENTO / DISMINUCIÓN NETA DEL EFECTIVO</t>
  </si>
  <si>
    <t xml:space="preserve">   Efectivo al inicio del ejercicio</t>
  </si>
  <si>
    <t xml:space="preserve">Efectivo al final del ejercicio</t>
  </si>
  <si>
    <t xml:space="preserve">Comprobación con el Balance: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</si>
</sst>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\x"/>
    <numFmt numFmtId="166" formatCode="#,##0&quot; €&quot;;\(#,##0&quot;) €&quot;;\-"/>
    <numFmt numFmtId="167" formatCode="0.0%"/>
    <numFmt numFmtId="168" formatCode="\+0.0%;\-0.0%;\-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9"/>
      <color rgb="FF595959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8"/>
      <color rgb="FF595959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i val="true"/>
      <sz val="8"/>
      <color rgb="FF00800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F5496"/>
        <bgColor rgb="FF1F3864"/>
      </patternFill>
    </fill>
    <fill>
      <patternFill patternType="solid">
        <fgColor rgb="FFD9E1F2"/>
        <bgColor rgb="FFBDD7EE"/>
      </patternFill>
    </fill>
    <fill>
      <patternFill patternType="solid">
        <fgColor rgb="FFF2F2F2"/>
        <bgColor rgb="FFEDF2FA"/>
      </patternFill>
    </fill>
    <fill>
      <patternFill patternType="solid">
        <fgColor rgb="FFEDF2FA"/>
        <bgColor rgb="FFF2F2F2"/>
      </patternFill>
    </fill>
    <fill>
      <patternFill patternType="solid">
        <fgColor rgb="FFBDD7EE"/>
        <bgColor rgb="FFD9E1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DF2FA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61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I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14"/>
    <col collapsed="false" customWidth="true" hidden="false" outlineLevel="0" max="5" min="5" style="0" width="3"/>
    <col collapsed="false" customWidth="true" hidden="false" outlineLevel="0" max="6" min="6" style="0" width="40"/>
    <col collapsed="false" customWidth="true" hidden="false" outlineLevel="0" max="8" min="7" style="0" width="11"/>
    <col collapsed="false" customWidth="true" hidden="false" outlineLevel="0" max="9" min="9" style="0" width="26"/>
  </cols>
  <sheetData>
    <row r="2" customFormat="false" ht="30" hidden="false" customHeight="true" outlineLevel="0" collapsed="false">
      <c r="B2" s="1" t="s">
        <v>0</v>
      </c>
      <c r="C2" s="1"/>
      <c r="D2" s="1"/>
      <c r="E2" s="1"/>
      <c r="F2" s="1"/>
    </row>
    <row r="3" customFormat="false" ht="15" hidden="false" customHeight="false" outlineLevel="0" collapsed="false">
      <c r="B3" s="2" t="s">
        <v>1</v>
      </c>
      <c r="C3" s="2"/>
      <c r="D3" s="2"/>
      <c r="E3" s="2"/>
      <c r="F3" s="2"/>
    </row>
    <row r="5" customFormat="false" ht="15" hidden="false" customHeight="false" outlineLevel="0" collapsed="false">
      <c r="B5" s="3" t="s">
        <v>2</v>
      </c>
      <c r="C5" s="4" t="s">
        <v>3</v>
      </c>
      <c r="D5" s="4"/>
      <c r="F5" s="5" t="s">
        <v>4</v>
      </c>
    </row>
    <row r="6" customFormat="false" ht="15" hidden="false" customHeight="false" outlineLevel="0" collapsed="false">
      <c r="B6" s="3" t="s">
        <v>5</v>
      </c>
      <c r="C6" s="4" t="s">
        <v>6</v>
      </c>
      <c r="D6" s="4"/>
      <c r="F6" s="6" t="s">
        <v>7</v>
      </c>
      <c r="G6" s="7" t="n">
        <v>2025</v>
      </c>
      <c r="H6" s="7" t="n">
        <v>2024</v>
      </c>
      <c r="I6" s="6" t="s">
        <v>8</v>
      </c>
    </row>
    <row r="7" customFormat="false" ht="15" hidden="false" customHeight="false" outlineLevel="0" collapsed="false">
      <c r="B7" s="3" t="s">
        <v>9</v>
      </c>
      <c r="C7" s="4" t="s">
        <v>10</v>
      </c>
      <c r="D7" s="4"/>
      <c r="F7" s="8" t="s">
        <v>11</v>
      </c>
      <c r="G7" s="8"/>
      <c r="H7" s="8"/>
      <c r="I7" s="8"/>
    </row>
    <row r="8" customFormat="false" ht="19.4" hidden="false" customHeight="false" outlineLevel="0" collapsed="false">
      <c r="B8" s="3" t="s">
        <v>12</v>
      </c>
      <c r="C8" s="4" t="s">
        <v>13</v>
      </c>
      <c r="D8" s="4"/>
      <c r="F8" s="9" t="s">
        <v>14</v>
      </c>
      <c r="G8" s="10" t="n">
        <f aca="false">IFERROR(Balance!C17/Balance!C32,"")</f>
        <v>2.25698324022346</v>
      </c>
      <c r="H8" s="10" t="n">
        <f aca="false">IFERROR(Balance!D17/Balance!D32,"")</f>
        <v>2.38461538461538</v>
      </c>
      <c r="I8" s="11" t="s">
        <v>15</v>
      </c>
    </row>
    <row r="9" customFormat="false" ht="19.4" hidden="false" customHeight="false" outlineLevel="0" collapsed="false">
      <c r="B9" s="3" t="s">
        <v>16</v>
      </c>
      <c r="C9" s="4" t="s">
        <v>17</v>
      </c>
      <c r="D9" s="4"/>
      <c r="F9" s="9" t="s">
        <v>18</v>
      </c>
      <c r="G9" s="10" t="n">
        <f aca="false">IFERROR((Balance!C17-Balance!C13)/Balance!C32,"")</f>
        <v>1.43016759776536</v>
      </c>
      <c r="H9" s="10" t="n">
        <f aca="false">IFERROR((Balance!D17-Balance!D13)/Balance!D32,"")</f>
        <v>1.46153846153846</v>
      </c>
      <c r="I9" s="11" t="s">
        <v>19</v>
      </c>
    </row>
    <row r="10" customFormat="false" ht="19.4" hidden="false" customHeight="false" outlineLevel="0" collapsed="false">
      <c r="B10" s="3" t="s">
        <v>20</v>
      </c>
      <c r="C10" s="4" t="s">
        <v>21</v>
      </c>
      <c r="D10" s="4"/>
      <c r="F10" s="9" t="s">
        <v>22</v>
      </c>
      <c r="G10" s="12" t="n">
        <f aca="false">Balance!C17-Balance!C32</f>
        <v>281250</v>
      </c>
      <c r="H10" s="12" t="n">
        <f aca="false">Balance!D17-Balance!D32</f>
        <v>252000</v>
      </c>
      <c r="I10" s="11" t="s">
        <v>23</v>
      </c>
    </row>
    <row r="11" customFormat="false" ht="15" hidden="false" customHeight="false" outlineLevel="0" collapsed="false">
      <c r="F11" s="8" t="s">
        <v>24</v>
      </c>
      <c r="G11" s="8"/>
      <c r="H11" s="8"/>
      <c r="I11" s="8"/>
    </row>
    <row r="12" customFormat="false" ht="19.4" hidden="false" customHeight="false" outlineLevel="0" collapsed="false">
      <c r="B12" s="13" t="s">
        <v>25</v>
      </c>
      <c r="C12" s="13"/>
      <c r="D12" s="13"/>
      <c r="F12" s="9" t="s">
        <v>26</v>
      </c>
      <c r="G12" s="14" t="n">
        <f aca="false">IFERROR((Balance!C28+Balance!C32)/Balance!C18,"")</f>
        <v>0.459844559585492</v>
      </c>
      <c r="H12" s="14" t="n">
        <f aca="false">IFERROR((Balance!D28+Balance!D32)/Balance!D18,"")</f>
        <v>0.451093210586881</v>
      </c>
      <c r="I12" s="11" t="s">
        <v>27</v>
      </c>
    </row>
    <row r="13" customFormat="false" ht="19.4" hidden="false" customHeight="false" outlineLevel="0" collapsed="false">
      <c r="B13" s="15" t="s">
        <v>28</v>
      </c>
      <c r="C13" s="16" t="n">
        <v>2025</v>
      </c>
      <c r="D13" s="16" t="n">
        <v>2024</v>
      </c>
      <c r="F13" s="9" t="s">
        <v>29</v>
      </c>
      <c r="G13" s="14" t="n">
        <f aca="false">IFERROR(Balance!C25/Balance!C18,"")</f>
        <v>0.540155440414508</v>
      </c>
      <c r="H13" s="14" t="n">
        <f aca="false">IFERROR(Balance!D25/Balance!D18,"")</f>
        <v>0.548906789413119</v>
      </c>
      <c r="I13" s="11" t="s">
        <v>30</v>
      </c>
    </row>
    <row r="14" customFormat="false" ht="19.4" hidden="false" customHeight="false" outlineLevel="0" collapsed="false">
      <c r="B14" s="17" t="s">
        <v>31</v>
      </c>
      <c r="C14" s="18" t="n">
        <f aca="false">Resultados!C6</f>
        <v>1250000</v>
      </c>
      <c r="D14" s="18" t="n">
        <f aca="false">Resultados!D6</f>
        <v>1080000</v>
      </c>
      <c r="F14" s="9" t="s">
        <v>32</v>
      </c>
      <c r="G14" s="10" t="n">
        <f aca="false">IFERROR(Resultados!C14/-Resultados!C16,"")</f>
        <v>4.71794871794872</v>
      </c>
      <c r="H14" s="10" t="n">
        <f aca="false">IFERROR(Resultados!D14/-Resultados!D16,"")</f>
        <v>3.04761904761905</v>
      </c>
      <c r="I14" s="11" t="s">
        <v>33</v>
      </c>
    </row>
    <row r="15" customFormat="false" ht="15" hidden="false" customHeight="false" outlineLevel="0" collapsed="false">
      <c r="B15" s="17" t="s">
        <v>34</v>
      </c>
      <c r="C15" s="18" t="n">
        <f aca="false">Resultados!C12</f>
        <v>156000</v>
      </c>
      <c r="D15" s="18" t="n">
        <f aca="false">Resultados!D12</f>
        <v>122000</v>
      </c>
      <c r="F15" s="8" t="s">
        <v>35</v>
      </c>
      <c r="G15" s="8"/>
      <c r="H15" s="8"/>
      <c r="I15" s="8"/>
    </row>
    <row r="16" customFormat="false" ht="15" hidden="false" customHeight="false" outlineLevel="0" collapsed="false">
      <c r="B16" s="17" t="s">
        <v>36</v>
      </c>
      <c r="C16" s="18" t="n">
        <f aca="false">Resultados!C19</f>
        <v>56250</v>
      </c>
      <c r="D16" s="18" t="n">
        <f aca="false">Resultados!D19</f>
        <v>33600</v>
      </c>
      <c r="F16" s="9" t="s">
        <v>37</v>
      </c>
      <c r="G16" s="14" t="n">
        <f aca="false">IFERROR(Resultados!C8/Resultados!C6,"")</f>
        <v>0.5104</v>
      </c>
      <c r="H16" s="14" t="n">
        <f aca="false">IFERROR(Resultados!D8/Resultados!D6,"")</f>
        <v>0.509259259259259</v>
      </c>
      <c r="I16" s="11" t="s">
        <v>38</v>
      </c>
    </row>
    <row r="17" customFormat="false" ht="15" hidden="false" customHeight="false" outlineLevel="0" collapsed="false">
      <c r="B17" s="17" t="s">
        <v>39</v>
      </c>
      <c r="C17" s="18" t="n">
        <f aca="false">Balance!C18</f>
        <v>965000</v>
      </c>
      <c r="D17" s="18" t="n">
        <f aca="false">Balance!D18</f>
        <v>869000</v>
      </c>
      <c r="F17" s="9" t="s">
        <v>40</v>
      </c>
      <c r="G17" s="14" t="n">
        <f aca="false">IFERROR(Resultados!C14/Resultados!C6,"")</f>
        <v>0.0736</v>
      </c>
      <c r="H17" s="14" t="n">
        <f aca="false">IFERROR(Resultados!D14/Resultados!D6,"")</f>
        <v>0.0592592592592593</v>
      </c>
      <c r="I17" s="11" t="s">
        <v>41</v>
      </c>
    </row>
    <row r="18" customFormat="false" ht="15" hidden="false" customHeight="false" outlineLevel="0" collapsed="false">
      <c r="B18" s="17" t="s">
        <v>42</v>
      </c>
      <c r="C18" s="18" t="n">
        <f aca="false">Balance!C25</f>
        <v>521250</v>
      </c>
      <c r="D18" s="18" t="n">
        <f aca="false">Balance!D25</f>
        <v>477000</v>
      </c>
      <c r="F18" s="9" t="s">
        <v>43</v>
      </c>
      <c r="G18" s="14" t="n">
        <f aca="false">IFERROR(Resultados!C19/Resultados!C6,"")</f>
        <v>0.045</v>
      </c>
      <c r="H18" s="14" t="n">
        <f aca="false">IFERROR(Resultados!D19/Resultados!D6,"")</f>
        <v>0.0311111111111111</v>
      </c>
      <c r="I18" s="11" t="s">
        <v>44</v>
      </c>
    </row>
    <row r="19" customFormat="false" ht="15" hidden="false" customHeight="false" outlineLevel="0" collapsed="false">
      <c r="B19" s="17" t="s">
        <v>45</v>
      </c>
      <c r="C19" s="18" t="n">
        <f aca="false">Balance!C16</f>
        <v>98000</v>
      </c>
      <c r="D19" s="18" t="n">
        <f aca="false">Balance!D16</f>
        <v>61000</v>
      </c>
      <c r="F19" s="9" t="s">
        <v>46</v>
      </c>
      <c r="G19" s="14" t="n">
        <f aca="false">IFERROR(Resultados!C19/Balance!C18,"")</f>
        <v>0.0582901554404145</v>
      </c>
      <c r="H19" s="14" t="n">
        <f aca="false">IFERROR(Resultados!D19/Balance!D18,"")</f>
        <v>0.0386651323360184</v>
      </c>
      <c r="I19" s="11" t="s">
        <v>47</v>
      </c>
    </row>
    <row r="20" customFormat="false" ht="15" hidden="false" customHeight="false" outlineLevel="0" collapsed="false">
      <c r="F20" s="9" t="s">
        <v>48</v>
      </c>
      <c r="G20" s="14" t="n">
        <f aca="false">IFERROR(Resultados!C19/Balance!C25,"")</f>
        <v>0.107913669064748</v>
      </c>
      <c r="H20" s="14" t="n">
        <f aca="false">IFERROR(Resultados!D19/Balance!D25,"")</f>
        <v>0.070440251572327</v>
      </c>
      <c r="I20" s="11" t="s">
        <v>49</v>
      </c>
    </row>
    <row r="21" customFormat="false" ht="15" hidden="false" customHeight="false" outlineLevel="0" collapsed="false">
      <c r="B21" s="13" t="s">
        <v>50</v>
      </c>
      <c r="C21" s="13"/>
      <c r="D21" s="13"/>
    </row>
    <row r="22" customFormat="false" ht="30" hidden="false" customHeight="true" outlineLevel="0" collapsed="false">
      <c r="B22" s="19" t="s">
        <v>51</v>
      </c>
      <c r="C22" s="20" t="s">
        <v>52</v>
      </c>
      <c r="D22" s="20"/>
    </row>
    <row r="23" customFormat="false" ht="30" hidden="false" customHeight="true" outlineLevel="0" collapsed="false">
      <c r="B23" s="19" t="s">
        <v>53</v>
      </c>
      <c r="C23" s="20" t="s">
        <v>54</v>
      </c>
      <c r="D23" s="20"/>
    </row>
    <row r="24" customFormat="false" ht="30" hidden="false" customHeight="true" outlineLevel="0" collapsed="false">
      <c r="B24" s="19" t="s">
        <v>55</v>
      </c>
      <c r="C24" s="20" t="s">
        <v>56</v>
      </c>
      <c r="D24" s="20"/>
    </row>
    <row r="25" customFormat="false" ht="30" hidden="false" customHeight="true" outlineLevel="0" collapsed="false">
      <c r="B25" s="19" t="s">
        <v>57</v>
      </c>
      <c r="C25" s="20" t="s">
        <v>58</v>
      </c>
      <c r="D25" s="20"/>
    </row>
    <row r="26" customFormat="false" ht="30" hidden="false" customHeight="true" outlineLevel="0" collapsed="false">
      <c r="B26" s="19" t="s">
        <v>59</v>
      </c>
      <c r="C26" s="20" t="s">
        <v>60</v>
      </c>
      <c r="D26" s="20"/>
    </row>
    <row r="28" customFormat="false" ht="15" hidden="false" customHeight="false" outlineLevel="0" collapsed="false">
      <c r="B28" s="21" t="s">
        <v>61</v>
      </c>
    </row>
    <row r="29" customFormat="false" ht="15" hidden="false" customHeight="false" outlineLevel="0" collapsed="false">
      <c r="B29" s="22" t="s">
        <v>62</v>
      </c>
      <c r="C29" s="23" t="s">
        <v>63</v>
      </c>
      <c r="D29" s="23"/>
    </row>
    <row r="30" customFormat="false" ht="15" hidden="false" customHeight="false" outlineLevel="0" collapsed="false">
      <c r="B30" s="24" t="s">
        <v>62</v>
      </c>
      <c r="C30" s="23" t="s">
        <v>64</v>
      </c>
      <c r="D30" s="23"/>
    </row>
    <row r="31" customFormat="false" ht="15" hidden="false" customHeight="false" outlineLevel="0" collapsed="false">
      <c r="B31" s="25" t="s">
        <v>62</v>
      </c>
      <c r="C31" s="23" t="s">
        <v>65</v>
      </c>
      <c r="D31" s="23"/>
    </row>
  </sheetData>
  <mergeCells count="21">
    <mergeCell ref="B2:F2"/>
    <mergeCell ref="B3:F3"/>
    <mergeCell ref="C5:D5"/>
    <mergeCell ref="C6:D6"/>
    <mergeCell ref="C7:D7"/>
    <mergeCell ref="F7:I7"/>
    <mergeCell ref="C8:D8"/>
    <mergeCell ref="C9:D9"/>
    <mergeCell ref="C10:D10"/>
    <mergeCell ref="F11:I11"/>
    <mergeCell ref="B12:D12"/>
    <mergeCell ref="F15:I15"/>
    <mergeCell ref="B21:D21"/>
    <mergeCell ref="C22:D22"/>
    <mergeCell ref="C23:D23"/>
    <mergeCell ref="C24:D24"/>
    <mergeCell ref="C25:D25"/>
    <mergeCell ref="C26:D26"/>
    <mergeCell ref="C29:D29"/>
    <mergeCell ref="C30:D30"/>
    <mergeCell ref="C31:D31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4"/>
    <col collapsed="false" customWidth="true" hidden="false" outlineLevel="0" max="4" min="3" style="0" width="15"/>
    <col collapsed="false" customWidth="true" hidden="false" outlineLevel="0" max="5" min="5" style="0" width="14"/>
    <col collapsed="false" customWidth="true" hidden="false" outlineLevel="0" max="7" min="6" style="0" width="12"/>
  </cols>
  <sheetData>
    <row r="2" customFormat="false" ht="25.5" hidden="false" customHeight="true" outlineLevel="0" collapsed="false">
      <c r="B2" s="26" t="s">
        <v>66</v>
      </c>
      <c r="C2" s="26"/>
      <c r="D2" s="26"/>
      <c r="E2" s="26"/>
      <c r="F2" s="26"/>
      <c r="G2" s="26"/>
    </row>
    <row r="3" customFormat="false" ht="15" hidden="false" customHeight="false" outlineLevel="0" collapsed="false">
      <c r="B3" s="27" t="s">
        <v>67</v>
      </c>
      <c r="C3" s="27"/>
      <c r="D3" s="27"/>
      <c r="E3" s="27"/>
      <c r="F3" s="27"/>
      <c r="G3" s="27"/>
    </row>
    <row r="5" customFormat="false" ht="27.75" hidden="false" customHeight="true" outlineLevel="0" collapsed="false">
      <c r="B5" s="28" t="s">
        <v>68</v>
      </c>
      <c r="C5" s="28" t="s">
        <v>69</v>
      </c>
      <c r="D5" s="28" t="s">
        <v>70</v>
      </c>
      <c r="E5" s="28" t="s">
        <v>71</v>
      </c>
      <c r="F5" s="28" t="s">
        <v>72</v>
      </c>
      <c r="G5" s="28" t="s">
        <v>73</v>
      </c>
    </row>
    <row r="6" customFormat="false" ht="15" hidden="false" customHeight="false" outlineLevel="0" collapsed="false">
      <c r="B6" s="29" t="s">
        <v>74</v>
      </c>
      <c r="C6" s="29"/>
      <c r="D6" s="29"/>
      <c r="E6" s="29"/>
      <c r="F6" s="29"/>
      <c r="G6" s="29"/>
    </row>
    <row r="7" customFormat="false" ht="15" hidden="false" customHeight="false" outlineLevel="0" collapsed="false">
      <c r="B7" s="29" t="s">
        <v>75</v>
      </c>
      <c r="C7" s="29"/>
      <c r="D7" s="29"/>
      <c r="E7" s="29"/>
      <c r="F7" s="29"/>
      <c r="G7" s="29"/>
    </row>
    <row r="8" customFormat="false" ht="15" hidden="false" customHeight="false" outlineLevel="0" collapsed="false">
      <c r="B8" s="17" t="s">
        <v>76</v>
      </c>
      <c r="C8" s="30" t="n">
        <v>15000</v>
      </c>
      <c r="D8" s="30" t="n">
        <v>12000</v>
      </c>
      <c r="E8" s="31" t="n">
        <f aca="false">C8-D8</f>
        <v>3000</v>
      </c>
      <c r="F8" s="32" t="n">
        <f aca="false">IFERROR(E8/ABS(D8),"")</f>
        <v>0.25</v>
      </c>
      <c r="G8" s="33" t="n">
        <f aca="false">IFERROR(C8/C$18,"")</f>
        <v>0.0155440414507772</v>
      </c>
    </row>
    <row r="9" customFormat="false" ht="15" hidden="false" customHeight="false" outlineLevel="0" collapsed="false">
      <c r="B9" s="17" t="s">
        <v>77</v>
      </c>
      <c r="C9" s="30" t="n">
        <v>420000</v>
      </c>
      <c r="D9" s="30" t="n">
        <v>398000</v>
      </c>
      <c r="E9" s="31" t="n">
        <f aca="false">C9-D9</f>
        <v>22000</v>
      </c>
      <c r="F9" s="32" t="n">
        <f aca="false">IFERROR(E9/ABS(D9),"")</f>
        <v>0.0552763819095477</v>
      </c>
      <c r="G9" s="33" t="n">
        <f aca="false">IFERROR(C9/C$18,"")</f>
        <v>0.435233160621762</v>
      </c>
    </row>
    <row r="10" customFormat="false" ht="15" hidden="false" customHeight="false" outlineLevel="0" collapsed="false">
      <c r="B10" s="17" t="s">
        <v>78</v>
      </c>
      <c r="C10" s="30" t="n">
        <v>25000</v>
      </c>
      <c r="D10" s="30" t="n">
        <v>25000</v>
      </c>
      <c r="E10" s="31" t="n">
        <f aca="false">C10-D10</f>
        <v>0</v>
      </c>
      <c r="F10" s="32" t="n">
        <f aca="false">IFERROR(E10/ABS(D10),"")</f>
        <v>0</v>
      </c>
      <c r="G10" s="33" t="n">
        <f aca="false">IFERROR(C10/C$18,"")</f>
        <v>0.0259067357512953</v>
      </c>
    </row>
    <row r="11" customFormat="false" ht="15" hidden="false" customHeight="false" outlineLevel="0" collapsed="false">
      <c r="B11" s="34" t="s">
        <v>79</v>
      </c>
      <c r="C11" s="35" t="n">
        <f aca="false">SUM(C8:C10)</f>
        <v>460000</v>
      </c>
      <c r="D11" s="35" t="n">
        <f aca="false">SUM(D8:D10)</f>
        <v>435000</v>
      </c>
      <c r="E11" s="35" t="n">
        <f aca="false">C11-D11</f>
        <v>25000</v>
      </c>
      <c r="F11" s="36" t="n">
        <f aca="false">IFERROR(E11/ABS(D11),"")</f>
        <v>0.0574712643678161</v>
      </c>
      <c r="G11" s="37" t="n">
        <f aca="false">IFERROR(C11/C$18,"")</f>
        <v>0.476683937823834</v>
      </c>
    </row>
    <row r="12" customFormat="false" ht="15" hidden="false" customHeight="false" outlineLevel="0" collapsed="false">
      <c r="B12" s="29" t="s">
        <v>80</v>
      </c>
      <c r="C12" s="29"/>
      <c r="D12" s="29"/>
      <c r="E12" s="29"/>
      <c r="F12" s="29"/>
      <c r="G12" s="29"/>
    </row>
    <row r="13" customFormat="false" ht="15" hidden="false" customHeight="false" outlineLevel="0" collapsed="false">
      <c r="B13" s="17" t="s">
        <v>81</v>
      </c>
      <c r="C13" s="30" t="n">
        <v>185000</v>
      </c>
      <c r="D13" s="30" t="n">
        <v>168000</v>
      </c>
      <c r="E13" s="31" t="n">
        <f aca="false">C13-D13</f>
        <v>17000</v>
      </c>
      <c r="F13" s="32" t="n">
        <f aca="false">IFERROR(E13/ABS(D13),"")</f>
        <v>0.101190476190476</v>
      </c>
      <c r="G13" s="33" t="n">
        <f aca="false">IFERROR(C13/C$18,"")</f>
        <v>0.191709844559585</v>
      </c>
    </row>
    <row r="14" customFormat="false" ht="15" hidden="false" customHeight="false" outlineLevel="0" collapsed="false">
      <c r="B14" s="17" t="s">
        <v>82</v>
      </c>
      <c r="C14" s="30" t="n">
        <v>210000</v>
      </c>
      <c r="D14" s="30" t="n">
        <v>195000</v>
      </c>
      <c r="E14" s="31" t="n">
        <f aca="false">C14-D14</f>
        <v>15000</v>
      </c>
      <c r="F14" s="32" t="n">
        <f aca="false">IFERROR(E14/ABS(D14),"")</f>
        <v>0.0769230769230769</v>
      </c>
      <c r="G14" s="33" t="n">
        <f aca="false">IFERROR(C14/C$18,"")</f>
        <v>0.217616580310881</v>
      </c>
    </row>
    <row r="15" customFormat="false" ht="15" hidden="false" customHeight="false" outlineLevel="0" collapsed="false">
      <c r="B15" s="17" t="s">
        <v>83</v>
      </c>
      <c r="C15" s="30" t="n">
        <v>12000</v>
      </c>
      <c r="D15" s="30" t="n">
        <v>10000</v>
      </c>
      <c r="E15" s="31" t="n">
        <f aca="false">C15-D15</f>
        <v>2000</v>
      </c>
      <c r="F15" s="32" t="n">
        <f aca="false">IFERROR(E15/ABS(D15),"")</f>
        <v>0.2</v>
      </c>
      <c r="G15" s="33" t="n">
        <f aca="false">IFERROR(C15/C$18,"")</f>
        <v>0.0124352331606218</v>
      </c>
    </row>
    <row r="16" customFormat="false" ht="15" hidden="false" customHeight="false" outlineLevel="0" collapsed="false">
      <c r="B16" s="17" t="s">
        <v>84</v>
      </c>
      <c r="C16" s="30" t="n">
        <v>98000</v>
      </c>
      <c r="D16" s="30" t="n">
        <v>61000</v>
      </c>
      <c r="E16" s="31" t="n">
        <f aca="false">C16-D16</f>
        <v>37000</v>
      </c>
      <c r="F16" s="32" t="n">
        <f aca="false">IFERROR(E16/ABS(D16),"")</f>
        <v>0.60655737704918</v>
      </c>
      <c r="G16" s="33" t="n">
        <f aca="false">IFERROR(C16/C$18,"")</f>
        <v>0.101554404145078</v>
      </c>
    </row>
    <row r="17" customFormat="false" ht="15" hidden="false" customHeight="false" outlineLevel="0" collapsed="false">
      <c r="B17" s="34" t="s">
        <v>85</v>
      </c>
      <c r="C17" s="35" t="n">
        <f aca="false">SUM(C13:C16)</f>
        <v>505000</v>
      </c>
      <c r="D17" s="35" t="n">
        <f aca="false">SUM(D13:D16)</f>
        <v>434000</v>
      </c>
      <c r="E17" s="35" t="n">
        <f aca="false">C17-D17</f>
        <v>71000</v>
      </c>
      <c r="F17" s="36" t="n">
        <f aca="false">IFERROR(E17/ABS(D17),"")</f>
        <v>0.163594470046083</v>
      </c>
      <c r="G17" s="37" t="n">
        <f aca="false">IFERROR(C17/C$18,"")</f>
        <v>0.523316062176166</v>
      </c>
    </row>
    <row r="18" customFormat="false" ht="15" hidden="false" customHeight="false" outlineLevel="0" collapsed="false">
      <c r="B18" s="38" t="s">
        <v>86</v>
      </c>
      <c r="C18" s="39" t="n">
        <f aca="false">C11+C17</f>
        <v>965000</v>
      </c>
      <c r="D18" s="39" t="n">
        <f aca="false">D11+D17</f>
        <v>869000</v>
      </c>
      <c r="E18" s="39" t="n">
        <f aca="false">C18-D18</f>
        <v>96000</v>
      </c>
      <c r="F18" s="40" t="n">
        <f aca="false">IFERROR(E18/ABS(D18),"")</f>
        <v>0.110471806674338</v>
      </c>
      <c r="G18" s="41" t="n">
        <f aca="false">IFERROR(C18/C$18,"")</f>
        <v>1</v>
      </c>
    </row>
    <row r="20" customFormat="false" ht="15" hidden="false" customHeight="false" outlineLevel="0" collapsed="false">
      <c r="B20" s="29" t="s">
        <v>87</v>
      </c>
      <c r="C20" s="29"/>
      <c r="D20" s="29"/>
      <c r="E20" s="29"/>
      <c r="F20" s="29"/>
      <c r="G20" s="29"/>
    </row>
    <row r="21" customFormat="false" ht="15" hidden="false" customHeight="false" outlineLevel="0" collapsed="false">
      <c r="B21" s="29" t="s">
        <v>88</v>
      </c>
      <c r="C21" s="29"/>
      <c r="D21" s="29"/>
      <c r="E21" s="29"/>
      <c r="F21" s="29"/>
      <c r="G21" s="29"/>
    </row>
    <row r="22" customFormat="false" ht="15" hidden="false" customHeight="false" outlineLevel="0" collapsed="false">
      <c r="B22" s="17" t="s">
        <v>89</v>
      </c>
      <c r="C22" s="30" t="n">
        <v>200000</v>
      </c>
      <c r="D22" s="30" t="n">
        <v>200000</v>
      </c>
      <c r="E22" s="31" t="n">
        <f aca="false">C22-D22</f>
        <v>0</v>
      </c>
      <c r="F22" s="32" t="n">
        <f aca="false">IFERROR(E22/ABS(D22),"")</f>
        <v>0</v>
      </c>
      <c r="G22" s="33" t="n">
        <f aca="false">IFERROR(C22/C$18,"")</f>
        <v>0.207253886010363</v>
      </c>
    </row>
    <row r="23" customFormat="false" ht="15" hidden="false" customHeight="false" outlineLevel="0" collapsed="false">
      <c r="B23" s="17" t="s">
        <v>90</v>
      </c>
      <c r="C23" s="30" t="n">
        <v>265000</v>
      </c>
      <c r="D23" s="30" t="n">
        <v>243400</v>
      </c>
      <c r="E23" s="31" t="n">
        <f aca="false">C23-D23</f>
        <v>21600</v>
      </c>
      <c r="F23" s="32" t="n">
        <f aca="false">IFERROR(E23/ABS(D23),"")</f>
        <v>0.0887428101889893</v>
      </c>
      <c r="G23" s="33" t="n">
        <f aca="false">IFERROR(C23/C$18,"")</f>
        <v>0.274611398963731</v>
      </c>
    </row>
    <row r="24" customFormat="false" ht="15" hidden="false" customHeight="false" outlineLevel="0" collapsed="false">
      <c r="B24" s="17" t="s">
        <v>91</v>
      </c>
      <c r="C24" s="30" t="n">
        <v>56250</v>
      </c>
      <c r="D24" s="30" t="n">
        <v>33600</v>
      </c>
      <c r="E24" s="31" t="n">
        <f aca="false">C24-D24</f>
        <v>22650</v>
      </c>
      <c r="F24" s="32" t="n">
        <f aca="false">IFERROR(E24/ABS(D24),"")</f>
        <v>0.674107142857143</v>
      </c>
      <c r="G24" s="33" t="n">
        <f aca="false">IFERROR(C24/C$18,"")</f>
        <v>0.0582901554404145</v>
      </c>
    </row>
    <row r="25" customFormat="false" ht="15" hidden="false" customHeight="false" outlineLevel="0" collapsed="false">
      <c r="B25" s="34" t="s">
        <v>92</v>
      </c>
      <c r="C25" s="35" t="n">
        <f aca="false">SUM(C22:C24)</f>
        <v>521250</v>
      </c>
      <c r="D25" s="35" t="n">
        <f aca="false">SUM(D22:D24)</f>
        <v>477000</v>
      </c>
      <c r="E25" s="35" t="n">
        <f aca="false">C25-D25</f>
        <v>44250</v>
      </c>
      <c r="F25" s="36" t="n">
        <f aca="false">IFERROR(E25/ABS(D25),"")</f>
        <v>0.0927672955974843</v>
      </c>
      <c r="G25" s="37" t="n">
        <f aca="false">IFERROR(C25/C$18,"")</f>
        <v>0.540155440414508</v>
      </c>
    </row>
    <row r="26" customFormat="false" ht="15" hidden="false" customHeight="false" outlineLevel="0" collapsed="false">
      <c r="B26" s="29" t="s">
        <v>93</v>
      </c>
      <c r="C26" s="29"/>
      <c r="D26" s="29"/>
      <c r="E26" s="29"/>
      <c r="F26" s="29"/>
      <c r="G26" s="29"/>
    </row>
    <row r="27" customFormat="false" ht="15" hidden="false" customHeight="false" outlineLevel="0" collapsed="false">
      <c r="B27" s="17" t="s">
        <v>94</v>
      </c>
      <c r="C27" s="30" t="n">
        <v>220000</v>
      </c>
      <c r="D27" s="30" t="n">
        <v>210000</v>
      </c>
      <c r="E27" s="31" t="n">
        <f aca="false">C27-D27</f>
        <v>10000</v>
      </c>
      <c r="F27" s="32" t="n">
        <f aca="false">IFERROR(E27/ABS(D27),"")</f>
        <v>0.0476190476190476</v>
      </c>
      <c r="G27" s="33" t="n">
        <f aca="false">IFERROR(C27/C$18,"")</f>
        <v>0.227979274611399</v>
      </c>
    </row>
    <row r="28" customFormat="false" ht="15" hidden="false" customHeight="false" outlineLevel="0" collapsed="false">
      <c r="B28" s="34" t="s">
        <v>95</v>
      </c>
      <c r="C28" s="35" t="n">
        <f aca="false">C27</f>
        <v>220000</v>
      </c>
      <c r="D28" s="35" t="n">
        <f aca="false">D27</f>
        <v>210000</v>
      </c>
      <c r="E28" s="35" t="n">
        <f aca="false">C28-D28</f>
        <v>10000</v>
      </c>
      <c r="F28" s="36" t="n">
        <f aca="false">IFERROR(E28/ABS(D28),"")</f>
        <v>0.0476190476190476</v>
      </c>
      <c r="G28" s="37" t="n">
        <f aca="false">IFERROR(C28/C$18,"")</f>
        <v>0.227979274611399</v>
      </c>
    </row>
    <row r="29" customFormat="false" ht="15" hidden="false" customHeight="false" outlineLevel="0" collapsed="false">
      <c r="B29" s="29" t="s">
        <v>96</v>
      </c>
      <c r="C29" s="29"/>
      <c r="D29" s="29"/>
      <c r="E29" s="29"/>
      <c r="F29" s="29"/>
      <c r="G29" s="29"/>
    </row>
    <row r="30" customFormat="false" ht="15" hidden="false" customHeight="false" outlineLevel="0" collapsed="false">
      <c r="B30" s="17" t="s">
        <v>97</v>
      </c>
      <c r="C30" s="30" t="n">
        <v>65000</v>
      </c>
      <c r="D30" s="30" t="n">
        <v>58000</v>
      </c>
      <c r="E30" s="31" t="n">
        <f aca="false">C30-D30</f>
        <v>7000</v>
      </c>
      <c r="F30" s="32" t="n">
        <f aca="false">IFERROR(E30/ABS(D30),"")</f>
        <v>0.120689655172414</v>
      </c>
      <c r="G30" s="33" t="n">
        <f aca="false">IFERROR(C30/C$18,"")</f>
        <v>0.0673575129533679</v>
      </c>
    </row>
    <row r="31" customFormat="false" ht="15" hidden="false" customHeight="false" outlineLevel="0" collapsed="false">
      <c r="B31" s="17" t="s">
        <v>98</v>
      </c>
      <c r="C31" s="30" t="n">
        <v>158750</v>
      </c>
      <c r="D31" s="30" t="n">
        <v>124000</v>
      </c>
      <c r="E31" s="31" t="n">
        <f aca="false">C31-D31</f>
        <v>34750</v>
      </c>
      <c r="F31" s="32" t="n">
        <f aca="false">IFERROR(E31/ABS(D31),"")</f>
        <v>0.280241935483871</v>
      </c>
      <c r="G31" s="33" t="n">
        <f aca="false">IFERROR(C31/C$18,"")</f>
        <v>0.164507772020725</v>
      </c>
    </row>
    <row r="32" customFormat="false" ht="15" hidden="false" customHeight="false" outlineLevel="0" collapsed="false">
      <c r="B32" s="34" t="s">
        <v>99</v>
      </c>
      <c r="C32" s="35" t="n">
        <f aca="false">C30+C31</f>
        <v>223750</v>
      </c>
      <c r="D32" s="35" t="n">
        <f aca="false">D30+D31</f>
        <v>182000</v>
      </c>
      <c r="E32" s="35" t="n">
        <f aca="false">C32-D32</f>
        <v>41750</v>
      </c>
      <c r="F32" s="36" t="n">
        <f aca="false">IFERROR(E32/ABS(D32),"")</f>
        <v>0.229395604395604</v>
      </c>
      <c r="G32" s="37" t="n">
        <f aca="false">IFERROR(C32/C$18,"")</f>
        <v>0.231865284974093</v>
      </c>
    </row>
    <row r="33" customFormat="false" ht="15" hidden="false" customHeight="false" outlineLevel="0" collapsed="false">
      <c r="B33" s="38" t="s">
        <v>100</v>
      </c>
      <c r="C33" s="39" t="n">
        <f aca="false">C25+C28+C32</f>
        <v>965000</v>
      </c>
      <c r="D33" s="39" t="n">
        <f aca="false">D25+D28+D32</f>
        <v>869000</v>
      </c>
      <c r="E33" s="39" t="n">
        <f aca="false">C33-D33</f>
        <v>96000</v>
      </c>
      <c r="F33" s="40" t="n">
        <f aca="false">IFERROR(E33/ABS(D33),"")</f>
        <v>0.110471806674338</v>
      </c>
      <c r="G33" s="41" t="n">
        <f aca="false">IFERROR(C33/C$18,"")</f>
        <v>1</v>
      </c>
    </row>
    <row r="35" customFormat="false" ht="15" hidden="false" customHeight="false" outlineLevel="0" collapsed="false">
      <c r="B35" s="42" t="s">
        <v>101</v>
      </c>
      <c r="C35" s="42"/>
      <c r="D35" s="43" t="n">
        <f aca="false">C18-C33</f>
        <v>0</v>
      </c>
      <c r="E35" s="44" t="str">
        <f aca="false">IF(ROUND(C18-C33,2)=0,"✔ El balance cuadra","✗ Descuadre — revisar")</f>
        <v>✔ El balance cuadra</v>
      </c>
      <c r="F35" s="44"/>
      <c r="G35" s="44"/>
    </row>
  </sheetData>
  <mergeCells count="11">
    <mergeCell ref="B2:G2"/>
    <mergeCell ref="B3:G3"/>
    <mergeCell ref="B6:G6"/>
    <mergeCell ref="B7:G7"/>
    <mergeCell ref="B12:G12"/>
    <mergeCell ref="B20:G20"/>
    <mergeCell ref="B21:G21"/>
    <mergeCell ref="B26:G26"/>
    <mergeCell ref="B29:G29"/>
    <mergeCell ref="B35:C35"/>
    <mergeCell ref="E35:G35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4"/>
    <col collapsed="false" customWidth="true" hidden="false" outlineLevel="0" max="4" min="3" style="0" width="15"/>
    <col collapsed="false" customWidth="true" hidden="false" outlineLevel="0" max="5" min="5" style="0" width="14"/>
    <col collapsed="false" customWidth="true" hidden="false" outlineLevel="0" max="7" min="6" style="0" width="12"/>
  </cols>
  <sheetData>
    <row r="2" customFormat="false" ht="25.5" hidden="false" customHeight="true" outlineLevel="0" collapsed="false">
      <c r="B2" s="26" t="s">
        <v>102</v>
      </c>
      <c r="C2" s="26"/>
      <c r="D2" s="26"/>
      <c r="E2" s="26"/>
      <c r="F2" s="26"/>
      <c r="G2" s="26"/>
    </row>
    <row r="3" customFormat="false" ht="15" hidden="false" customHeight="false" outlineLevel="0" collapsed="false">
      <c r="B3" s="27" t="s">
        <v>103</v>
      </c>
      <c r="C3" s="27"/>
      <c r="D3" s="27"/>
      <c r="E3" s="27"/>
      <c r="F3" s="27"/>
      <c r="G3" s="27"/>
    </row>
    <row r="5" customFormat="false" ht="27.75" hidden="false" customHeight="true" outlineLevel="0" collapsed="false">
      <c r="B5" s="28" t="s">
        <v>68</v>
      </c>
      <c r="C5" s="28" t="s">
        <v>104</v>
      </c>
      <c r="D5" s="28" t="s">
        <v>105</v>
      </c>
      <c r="E5" s="28" t="s">
        <v>71</v>
      </c>
      <c r="F5" s="28" t="s">
        <v>72</v>
      </c>
      <c r="G5" s="28" t="s">
        <v>106</v>
      </c>
    </row>
    <row r="6" customFormat="false" ht="15" hidden="false" customHeight="false" outlineLevel="0" collapsed="false">
      <c r="B6" s="17" t="s">
        <v>107</v>
      </c>
      <c r="C6" s="30" t="n">
        <v>1250000</v>
      </c>
      <c r="D6" s="30" t="n">
        <v>1080000</v>
      </c>
      <c r="E6" s="31" t="n">
        <f aca="false">C6-D6</f>
        <v>170000</v>
      </c>
      <c r="F6" s="32" t="n">
        <f aca="false">IFERROR(E6/ABS(D6),"")</f>
        <v>0.157407407407407</v>
      </c>
      <c r="G6" s="33" t="n">
        <f aca="false">IFERROR(C6/C$6,"")</f>
        <v>1</v>
      </c>
    </row>
    <row r="7" customFormat="false" ht="15" hidden="false" customHeight="false" outlineLevel="0" collapsed="false">
      <c r="B7" s="17" t="s">
        <v>108</v>
      </c>
      <c r="C7" s="30" t="n">
        <v>-612000</v>
      </c>
      <c r="D7" s="30" t="n">
        <v>-530000</v>
      </c>
      <c r="E7" s="31" t="n">
        <f aca="false">C7-D7</f>
        <v>-82000</v>
      </c>
      <c r="F7" s="32" t="n">
        <f aca="false">IFERROR(E7/ABS(D7),"")</f>
        <v>-0.154716981132075</v>
      </c>
      <c r="G7" s="33" t="n">
        <f aca="false">IFERROR(C7/C$6,"")</f>
        <v>-0.4896</v>
      </c>
    </row>
    <row r="8" customFormat="false" ht="15" hidden="false" customHeight="false" outlineLevel="0" collapsed="false">
      <c r="B8" s="34" t="s">
        <v>109</v>
      </c>
      <c r="C8" s="35" t="n">
        <f aca="false">C6+C7</f>
        <v>638000</v>
      </c>
      <c r="D8" s="35" t="n">
        <f aca="false">D6+D7</f>
        <v>550000</v>
      </c>
      <c r="E8" s="35" t="n">
        <f aca="false">C8-D8</f>
        <v>88000</v>
      </c>
      <c r="F8" s="36" t="n">
        <f aca="false">IFERROR(E8/ABS(D8),"")</f>
        <v>0.16</v>
      </c>
      <c r="G8" s="37" t="n">
        <f aca="false">IFERROR(C8/C$6,"")</f>
        <v>0.5104</v>
      </c>
    </row>
    <row r="9" customFormat="false" ht="15" hidden="false" customHeight="false" outlineLevel="0" collapsed="false">
      <c r="B9" s="17" t="s">
        <v>110</v>
      </c>
      <c r="C9" s="30" t="n">
        <v>18000</v>
      </c>
      <c r="D9" s="30" t="n">
        <v>12000</v>
      </c>
      <c r="E9" s="31" t="n">
        <f aca="false">C9-D9</f>
        <v>6000</v>
      </c>
      <c r="F9" s="32" t="n">
        <f aca="false">IFERROR(E9/ABS(D9),"")</f>
        <v>0.5</v>
      </c>
      <c r="G9" s="33" t="n">
        <f aca="false">IFERROR(C9/C$6,"")</f>
        <v>0.0144</v>
      </c>
    </row>
    <row r="10" customFormat="false" ht="15" hidden="false" customHeight="false" outlineLevel="0" collapsed="false">
      <c r="B10" s="17" t="s">
        <v>111</v>
      </c>
      <c r="C10" s="30" t="n">
        <v>-358000</v>
      </c>
      <c r="D10" s="30" t="n">
        <v>-320000</v>
      </c>
      <c r="E10" s="31" t="n">
        <f aca="false">C10-D10</f>
        <v>-38000</v>
      </c>
      <c r="F10" s="32" t="n">
        <f aca="false">IFERROR(E10/ABS(D10),"")</f>
        <v>-0.11875</v>
      </c>
      <c r="G10" s="33" t="n">
        <f aca="false">IFERROR(C10/C$6,"")</f>
        <v>-0.2864</v>
      </c>
    </row>
    <row r="11" customFormat="false" ht="15" hidden="false" customHeight="false" outlineLevel="0" collapsed="false">
      <c r="B11" s="17" t="s">
        <v>112</v>
      </c>
      <c r="C11" s="30" t="n">
        <v>-142000</v>
      </c>
      <c r="D11" s="30" t="n">
        <v>-120000</v>
      </c>
      <c r="E11" s="31" t="n">
        <f aca="false">C11-D11</f>
        <v>-22000</v>
      </c>
      <c r="F11" s="32" t="n">
        <f aca="false">IFERROR(E11/ABS(D11),"")</f>
        <v>-0.183333333333333</v>
      </c>
      <c r="G11" s="33" t="n">
        <f aca="false">IFERROR(C11/C$6,"")</f>
        <v>-0.1136</v>
      </c>
    </row>
    <row r="12" customFormat="false" ht="15" hidden="false" customHeight="false" outlineLevel="0" collapsed="false">
      <c r="B12" s="34" t="s">
        <v>113</v>
      </c>
      <c r="C12" s="35" t="n">
        <f aca="false">C8+C9+C10+C11</f>
        <v>156000</v>
      </c>
      <c r="D12" s="35" t="n">
        <f aca="false">D8+D9+D10+D11</f>
        <v>122000</v>
      </c>
      <c r="E12" s="35" t="n">
        <f aca="false">C12-D12</f>
        <v>34000</v>
      </c>
      <c r="F12" s="36" t="n">
        <f aca="false">IFERROR(E12/ABS(D12),"")</f>
        <v>0.278688524590164</v>
      </c>
      <c r="G12" s="37" t="n">
        <f aca="false">IFERROR(C12/C$6,"")</f>
        <v>0.1248</v>
      </c>
    </row>
    <row r="13" customFormat="false" ht="15" hidden="false" customHeight="false" outlineLevel="0" collapsed="false">
      <c r="B13" s="17" t="s">
        <v>114</v>
      </c>
      <c r="C13" s="30" t="n">
        <v>-64000</v>
      </c>
      <c r="D13" s="30" t="n">
        <v>-58000</v>
      </c>
      <c r="E13" s="31" t="n">
        <f aca="false">C13-D13</f>
        <v>-6000</v>
      </c>
      <c r="F13" s="32" t="n">
        <f aca="false">IFERROR(E13/ABS(D13),"")</f>
        <v>-0.103448275862069</v>
      </c>
      <c r="G13" s="33" t="n">
        <f aca="false">IFERROR(C13/C$6,"")</f>
        <v>-0.0512</v>
      </c>
    </row>
    <row r="14" customFormat="false" ht="15" hidden="false" customHeight="false" outlineLevel="0" collapsed="false">
      <c r="B14" s="34" t="s">
        <v>115</v>
      </c>
      <c r="C14" s="35" t="n">
        <f aca="false">C12+C13</f>
        <v>92000</v>
      </c>
      <c r="D14" s="35" t="n">
        <f aca="false">D12+D13</f>
        <v>64000</v>
      </c>
      <c r="E14" s="35" t="n">
        <f aca="false">C14-D14</f>
        <v>28000</v>
      </c>
      <c r="F14" s="36" t="n">
        <f aca="false">IFERROR(E14/ABS(D14),"")</f>
        <v>0.4375</v>
      </c>
      <c r="G14" s="37" t="n">
        <f aca="false">IFERROR(C14/C$6,"")</f>
        <v>0.0736</v>
      </c>
    </row>
    <row r="15" customFormat="false" ht="15" hidden="false" customHeight="false" outlineLevel="0" collapsed="false">
      <c r="B15" s="17" t="s">
        <v>116</v>
      </c>
      <c r="C15" s="30" t="n">
        <v>2500</v>
      </c>
      <c r="D15" s="30" t="n">
        <v>1800</v>
      </c>
      <c r="E15" s="31" t="n">
        <f aca="false">C15-D15</f>
        <v>700</v>
      </c>
      <c r="F15" s="32" t="n">
        <f aca="false">IFERROR(E15/ABS(D15),"")</f>
        <v>0.388888888888889</v>
      </c>
      <c r="G15" s="33" t="n">
        <f aca="false">IFERROR(C15/C$6,"")</f>
        <v>0.002</v>
      </c>
    </row>
    <row r="16" customFormat="false" ht="15" hidden="false" customHeight="false" outlineLevel="0" collapsed="false">
      <c r="B16" s="17" t="s">
        <v>117</v>
      </c>
      <c r="C16" s="30" t="n">
        <v>-19500</v>
      </c>
      <c r="D16" s="30" t="n">
        <v>-21000</v>
      </c>
      <c r="E16" s="31" t="n">
        <f aca="false">C16-D16</f>
        <v>1500</v>
      </c>
      <c r="F16" s="32" t="n">
        <f aca="false">IFERROR(E16/ABS(D16),"")</f>
        <v>0.0714285714285714</v>
      </c>
      <c r="G16" s="33" t="n">
        <f aca="false">IFERROR(C16/C$6,"")</f>
        <v>-0.0156</v>
      </c>
    </row>
    <row r="17" customFormat="false" ht="15" hidden="false" customHeight="false" outlineLevel="0" collapsed="false">
      <c r="B17" s="34" t="s">
        <v>118</v>
      </c>
      <c r="C17" s="35" t="n">
        <f aca="false">C14+C15+C16</f>
        <v>75000</v>
      </c>
      <c r="D17" s="35" t="n">
        <f aca="false">D14+D15+D16</f>
        <v>44800</v>
      </c>
      <c r="E17" s="35" t="n">
        <f aca="false">C17-D17</f>
        <v>30200</v>
      </c>
      <c r="F17" s="36" t="n">
        <f aca="false">IFERROR(E17/ABS(D17),"")</f>
        <v>0.674107142857143</v>
      </c>
      <c r="G17" s="37" t="n">
        <f aca="false">IFERROR(C17/C$6,"")</f>
        <v>0.06</v>
      </c>
    </row>
    <row r="18" customFormat="false" ht="15" hidden="false" customHeight="false" outlineLevel="0" collapsed="false">
      <c r="B18" s="17" t="s">
        <v>119</v>
      </c>
      <c r="C18" s="30" t="n">
        <v>-18750</v>
      </c>
      <c r="D18" s="30" t="n">
        <v>-11200</v>
      </c>
      <c r="E18" s="31" t="n">
        <f aca="false">C18-D18</f>
        <v>-7550</v>
      </c>
      <c r="F18" s="32" t="n">
        <f aca="false">IFERROR(E18/ABS(D18),"")</f>
        <v>-0.674107142857143</v>
      </c>
      <c r="G18" s="33" t="n">
        <f aca="false">IFERROR(C18/C$6,"")</f>
        <v>-0.015</v>
      </c>
    </row>
    <row r="19" customFormat="false" ht="15" hidden="false" customHeight="false" outlineLevel="0" collapsed="false">
      <c r="B19" s="38" t="s">
        <v>120</v>
      </c>
      <c r="C19" s="39" t="n">
        <f aca="false">C17+C18</f>
        <v>56250</v>
      </c>
      <c r="D19" s="39" t="n">
        <f aca="false">D17+D18</f>
        <v>33600</v>
      </c>
      <c r="E19" s="39" t="n">
        <f aca="false">C19-D19</f>
        <v>22650</v>
      </c>
      <c r="F19" s="40" t="n">
        <f aca="false">IFERROR(E19/ABS(D19),"")</f>
        <v>0.674107142857143</v>
      </c>
      <c r="G19" s="41" t="n">
        <f aca="false">IFERROR(C19/C$6,"")</f>
        <v>0.045</v>
      </c>
    </row>
  </sheetData>
  <mergeCells count="2">
    <mergeCell ref="B2:G2"/>
    <mergeCell ref="B3:G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C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2"/>
    <col collapsed="false" customWidth="true" hidden="false" outlineLevel="0" max="3" min="3" style="0" width="18"/>
  </cols>
  <sheetData>
    <row r="2" customFormat="false" ht="25.5" hidden="false" customHeight="true" outlineLevel="0" collapsed="false">
      <c r="B2" s="26" t="s">
        <v>121</v>
      </c>
      <c r="C2" s="26"/>
    </row>
    <row r="3" customFormat="false" ht="15" hidden="false" customHeight="false" outlineLevel="0" collapsed="false">
      <c r="B3" s="27" t="s">
        <v>122</v>
      </c>
      <c r="C3" s="27"/>
    </row>
    <row r="4" customFormat="false" ht="15" hidden="false" customHeight="false" outlineLevel="0" collapsed="false">
      <c r="B4" s="45" t="s">
        <v>123</v>
      </c>
      <c r="C4" s="45"/>
    </row>
    <row r="6" customFormat="false" ht="15" hidden="false" customHeight="false" outlineLevel="0" collapsed="false">
      <c r="B6" s="5" t="s">
        <v>68</v>
      </c>
      <c r="C6" s="46" t="s">
        <v>104</v>
      </c>
    </row>
    <row r="7" customFormat="false" ht="15" hidden="false" customHeight="false" outlineLevel="0" collapsed="false">
      <c r="B7" s="47" t="s">
        <v>124</v>
      </c>
      <c r="C7" s="48"/>
    </row>
    <row r="8" customFormat="false" ht="15" hidden="false" customHeight="false" outlineLevel="0" collapsed="false">
      <c r="B8" s="17" t="s">
        <v>125</v>
      </c>
      <c r="C8" s="18" t="n">
        <f aca="false">Resultados!C17</f>
        <v>75000</v>
      </c>
    </row>
    <row r="9" customFormat="false" ht="15" hidden="false" customHeight="false" outlineLevel="0" collapsed="false">
      <c r="B9" s="17" t="s">
        <v>126</v>
      </c>
      <c r="C9" s="18" t="n">
        <f aca="false">-Resultados!C13</f>
        <v>64000</v>
      </c>
    </row>
    <row r="10" customFormat="false" ht="15" hidden="false" customHeight="false" outlineLevel="0" collapsed="false">
      <c r="B10" s="17" t="s">
        <v>127</v>
      </c>
      <c r="C10" s="18" t="n">
        <f aca="false">-Resultados!C16</f>
        <v>19500</v>
      </c>
    </row>
    <row r="11" customFormat="false" ht="15" hidden="false" customHeight="false" outlineLevel="0" collapsed="false">
      <c r="B11" s="17" t="s">
        <v>128</v>
      </c>
      <c r="C11" s="18" t="n">
        <f aca="false">-Resultados!C15</f>
        <v>-2500</v>
      </c>
    </row>
    <row r="12" customFormat="false" ht="15" hidden="false" customHeight="false" outlineLevel="0" collapsed="false">
      <c r="B12" s="34" t="s">
        <v>129</v>
      </c>
      <c r="C12" s="35" t="n">
        <f aca="false">C8+C9+C10+C11</f>
        <v>156000</v>
      </c>
    </row>
    <row r="13" customFormat="false" ht="15" hidden="false" customHeight="false" outlineLevel="0" collapsed="false">
      <c r="B13" s="17" t="s">
        <v>130</v>
      </c>
      <c r="C13" s="18" t="n">
        <f aca="false">-(Balance!C13-Balance!D13)</f>
        <v>-17000</v>
      </c>
    </row>
    <row r="14" customFormat="false" ht="15" hidden="false" customHeight="false" outlineLevel="0" collapsed="false">
      <c r="B14" s="17" t="s">
        <v>131</v>
      </c>
      <c r="C14" s="18" t="n">
        <f aca="false">-(Balance!C14-Balance!D14)</f>
        <v>-15000</v>
      </c>
    </row>
    <row r="15" customFormat="false" ht="15" hidden="false" customHeight="false" outlineLevel="0" collapsed="false">
      <c r="B15" s="17" t="s">
        <v>132</v>
      </c>
      <c r="C15" s="18" t="n">
        <f aca="false">(Balance!C31-Balance!D31)</f>
        <v>34750</v>
      </c>
    </row>
    <row r="16" customFormat="false" ht="15" hidden="false" customHeight="false" outlineLevel="0" collapsed="false">
      <c r="B16" s="17" t="s">
        <v>133</v>
      </c>
      <c r="C16" s="18" t="n">
        <f aca="false">Resultados!C16</f>
        <v>-19500</v>
      </c>
    </row>
    <row r="17" customFormat="false" ht="15" hidden="false" customHeight="false" outlineLevel="0" collapsed="false">
      <c r="B17" s="17" t="s">
        <v>134</v>
      </c>
      <c r="C17" s="18" t="n">
        <f aca="false">Resultados!C15</f>
        <v>2500</v>
      </c>
    </row>
    <row r="18" customFormat="false" ht="15" hidden="false" customHeight="false" outlineLevel="0" collapsed="false">
      <c r="B18" s="17" t="s">
        <v>135</v>
      </c>
      <c r="C18" s="18" t="n">
        <f aca="false">Resultados!C18</f>
        <v>-18750</v>
      </c>
    </row>
    <row r="19" customFormat="false" ht="15" hidden="false" customHeight="false" outlineLevel="0" collapsed="false">
      <c r="B19" s="38" t="s">
        <v>136</v>
      </c>
      <c r="C19" s="39" t="n">
        <f aca="false">C12+C13+C14+C15+C16+C17+C18</f>
        <v>123000</v>
      </c>
    </row>
    <row r="21" customFormat="false" ht="15" hidden="false" customHeight="false" outlineLevel="0" collapsed="false">
      <c r="B21" s="47" t="s">
        <v>137</v>
      </c>
      <c r="C21" s="48"/>
    </row>
    <row r="22" customFormat="false" ht="15" hidden="false" customHeight="false" outlineLevel="0" collapsed="false">
      <c r="B22" s="17" t="s">
        <v>138</v>
      </c>
      <c r="C22" s="18" t="n">
        <f aca="false">-((Balance!C8+Balance!C9)-(Balance!D8+Balance!D9)-Resultados!C13)</f>
        <v>-89000</v>
      </c>
    </row>
    <row r="23" customFormat="false" ht="15" hidden="false" customHeight="false" outlineLevel="0" collapsed="false">
      <c r="B23" s="17" t="s">
        <v>139</v>
      </c>
      <c r="C23" s="18" t="n">
        <f aca="false">-((Balance!C10+Balance!C15)-(Balance!D10+Balance!D15))</f>
        <v>-2000</v>
      </c>
    </row>
    <row r="24" customFormat="false" ht="15" hidden="false" customHeight="false" outlineLevel="0" collapsed="false">
      <c r="B24" s="38" t="s">
        <v>140</v>
      </c>
      <c r="C24" s="39" t="n">
        <f aca="false">C22+C23</f>
        <v>-91000</v>
      </c>
    </row>
    <row r="26" customFormat="false" ht="15" hidden="false" customHeight="false" outlineLevel="0" collapsed="false">
      <c r="B26" s="47" t="s">
        <v>141</v>
      </c>
      <c r="C26" s="48"/>
    </row>
    <row r="27" customFormat="false" ht="15" hidden="false" customHeight="false" outlineLevel="0" collapsed="false">
      <c r="B27" s="17" t="s">
        <v>142</v>
      </c>
      <c r="C27" s="18" t="n">
        <f aca="false">(Balance!C27-Balance!D27)+(Balance!C30-Balance!D30)</f>
        <v>17000</v>
      </c>
    </row>
    <row r="28" customFormat="false" ht="15" hidden="false" customHeight="false" outlineLevel="0" collapsed="false">
      <c r="B28" s="17" t="s">
        <v>143</v>
      </c>
      <c r="C28" s="18" t="n">
        <f aca="false">-((Balance!D23+Balance!D24)-Balance!C23)</f>
        <v>-12000</v>
      </c>
    </row>
    <row r="29" customFormat="false" ht="15" hidden="false" customHeight="false" outlineLevel="0" collapsed="false">
      <c r="B29" s="38" t="s">
        <v>144</v>
      </c>
      <c r="C29" s="39" t="n">
        <f aca="false">C27+C28</f>
        <v>5000</v>
      </c>
    </row>
    <row r="31" customFormat="false" ht="15" hidden="false" customHeight="false" outlineLevel="0" collapsed="false">
      <c r="B31" s="38" t="s">
        <v>145</v>
      </c>
      <c r="C31" s="39" t="n">
        <f aca="false">C19+C24+C29</f>
        <v>37000</v>
      </c>
    </row>
    <row r="32" customFormat="false" ht="15" hidden="false" customHeight="false" outlineLevel="0" collapsed="false">
      <c r="B32" s="17" t="s">
        <v>146</v>
      </c>
      <c r="C32" s="18" t="n">
        <f aca="false">Balance!D16</f>
        <v>61000</v>
      </c>
    </row>
    <row r="33" customFormat="false" ht="15" hidden="false" customHeight="false" outlineLevel="0" collapsed="false">
      <c r="B33" s="34" t="s">
        <v>147</v>
      </c>
      <c r="C33" s="35" t="n">
        <f aca="false">C31+C32</f>
        <v>98000</v>
      </c>
    </row>
    <row r="35" customFormat="false" ht="15" hidden="false" customHeight="false" outlineLevel="0" collapsed="false">
      <c r="B35" s="49" t="s">
        <v>148</v>
      </c>
      <c r="C35" s="50" t="str">
        <f aca="false">IF(ROUND(C33-Balance!C16,2)=0,"✔ Coincide","✗ Revisar")</f>
        <v>✔ Coincide</v>
      </c>
    </row>
  </sheetData>
  <mergeCells count="3">
    <mergeCell ref="B2:C2"/>
    <mergeCell ref="B3:C3"/>
    <mergeCell ref="B4:C4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2026-08-25T05:21:27Z</dcterms:created>
  <dc:creator>openpyxl</dc:creator>
  <dc:description/>
  <dc:language>en-US</dc:language>
  <cp:lastModifiedBy/>
  <dcterms:modified xsi:type="dcterms:W3CDTF">2026-08-25T05:21:27Z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